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0640" windowHeight="11760"/>
  </bookViews>
  <sheets>
    <sheet name="开航航线奖励" sheetId="1" r:id="rId1"/>
    <sheet name="进口重箱奖励" sheetId="2" r:id="rId2"/>
    <sheet name="出口重箱奖励（出口订舱人）" sheetId="3" r:id="rId3"/>
    <sheet name="出口重箱奖励（出口报关企业）" sheetId="4" r:id="rId4"/>
  </sheets>
  <definedNames>
    <definedName name="_xlnm.Print_Area" localSheetId="3">'出口重箱奖励（出口报关企业）'!$A$1:$J$11</definedName>
    <definedName name="_xlnm.Print_Area" localSheetId="1">进口重箱奖励!$A$1:$S$124</definedName>
    <definedName name="_xlnm.Print_Area" localSheetId="0">开航航线奖励!$A$1:$K$5</definedName>
    <definedName name="_xlnm.Print_Titles" localSheetId="1">进口重箱奖励!$1:$3</definedName>
  </definedNames>
  <calcPr calcId="125725"/>
</workbook>
</file>

<file path=xl/calcChain.xml><?xml version="1.0" encoding="utf-8"?>
<calcChain xmlns="http://schemas.openxmlformats.org/spreadsheetml/2006/main">
  <c r="R115" i="2"/>
  <c r="I9" i="4"/>
  <c r="I8"/>
  <c r="H7"/>
  <c r="I7" s="1"/>
  <c r="I4"/>
  <c r="H4"/>
  <c r="I72" i="3"/>
  <c r="K72" s="1"/>
  <c r="K71"/>
  <c r="J70"/>
  <c r="I70"/>
  <c r="K70" s="1"/>
  <c r="J69"/>
  <c r="I69"/>
  <c r="K68"/>
  <c r="K67"/>
  <c r="I66"/>
  <c r="K66" s="1"/>
  <c r="K65"/>
  <c r="K64"/>
  <c r="K63"/>
  <c r="K62"/>
  <c r="K61"/>
  <c r="K60"/>
  <c r="K59"/>
  <c r="K58"/>
  <c r="K57"/>
  <c r="K56"/>
  <c r="K55"/>
  <c r="K54"/>
  <c r="K53"/>
  <c r="K52"/>
  <c r="K50"/>
  <c r="I50"/>
  <c r="J49"/>
  <c r="K48"/>
  <c r="J48"/>
  <c r="I48"/>
  <c r="J47"/>
  <c r="K46"/>
  <c r="J46"/>
  <c r="I46"/>
  <c r="K45"/>
  <c r="I45"/>
  <c r="K44"/>
  <c r="I44"/>
  <c r="K42"/>
  <c r="K40"/>
  <c r="J40"/>
  <c r="I40"/>
  <c r="K39"/>
  <c r="I39"/>
  <c r="K36"/>
  <c r="J36"/>
  <c r="I36"/>
  <c r="K31"/>
  <c r="J31"/>
  <c r="I31"/>
  <c r="K30"/>
  <c r="I30"/>
  <c r="K29"/>
  <c r="J29"/>
  <c r="I29"/>
  <c r="K28"/>
  <c r="J28"/>
  <c r="I28"/>
  <c r="K27"/>
  <c r="J27"/>
  <c r="K26"/>
  <c r="J26"/>
  <c r="I26"/>
  <c r="J25"/>
  <c r="K24"/>
  <c r="I24"/>
  <c r="K23"/>
  <c r="J23"/>
  <c r="I23"/>
  <c r="K21"/>
  <c r="I21"/>
  <c r="K18"/>
  <c r="J18"/>
  <c r="I18"/>
  <c r="K17"/>
  <c r="J17"/>
  <c r="K16"/>
  <c r="J16"/>
  <c r="K14"/>
  <c r="J14"/>
  <c r="I14"/>
  <c r="K13"/>
  <c r="J13"/>
  <c r="K12"/>
  <c r="J12"/>
  <c r="K11"/>
  <c r="J11"/>
  <c r="K8"/>
  <c r="J8"/>
  <c r="K7"/>
  <c r="J7"/>
  <c r="I7"/>
  <c r="K6"/>
  <c r="K5"/>
  <c r="J5"/>
  <c r="I5"/>
  <c r="K4"/>
  <c r="J4"/>
  <c r="I4"/>
  <c r="R122" i="2"/>
  <c r="R121"/>
  <c r="R120"/>
  <c r="R119"/>
  <c r="R118"/>
  <c r="R117"/>
  <c r="Q116"/>
  <c r="P116"/>
  <c r="Q114"/>
  <c r="P114"/>
  <c r="R113"/>
  <c r="R112"/>
  <c r="R111"/>
  <c r="R110"/>
  <c r="Q110"/>
  <c r="P110"/>
  <c r="R109"/>
  <c r="R108"/>
  <c r="Q108"/>
  <c r="P108"/>
  <c r="R107"/>
  <c r="R106"/>
  <c r="R105"/>
  <c r="Q104"/>
  <c r="P104"/>
  <c r="R103"/>
  <c r="R102"/>
  <c r="Q101"/>
  <c r="P101"/>
  <c r="R100"/>
  <c r="P100"/>
  <c r="R99"/>
  <c r="Q98"/>
  <c r="P98"/>
  <c r="R97"/>
  <c r="R96"/>
  <c r="R95"/>
  <c r="P94"/>
  <c r="R94" s="1"/>
  <c r="Q93"/>
  <c r="P93"/>
  <c r="R92"/>
  <c r="Q91"/>
  <c r="P91"/>
  <c r="R90"/>
  <c r="R89"/>
  <c r="R88"/>
  <c r="R87"/>
  <c r="Q86"/>
  <c r="R86" s="1"/>
  <c r="R85"/>
  <c r="R84"/>
  <c r="R83"/>
  <c r="R82"/>
  <c r="P82"/>
  <c r="R81"/>
  <c r="R80"/>
  <c r="Q79"/>
  <c r="P79"/>
  <c r="R78"/>
  <c r="R77"/>
  <c r="R76"/>
  <c r="R75"/>
  <c r="R74"/>
  <c r="R73"/>
  <c r="R72"/>
  <c r="R71"/>
  <c r="R70"/>
  <c r="R69"/>
  <c r="R68"/>
  <c r="R67"/>
  <c r="Q67"/>
  <c r="P67"/>
  <c r="I67"/>
  <c r="I123" s="1"/>
  <c r="H67"/>
  <c r="H123" s="1"/>
  <c r="G67"/>
  <c r="G123" s="1"/>
  <c r="R65"/>
  <c r="Q65"/>
  <c r="R64"/>
  <c r="Q64"/>
  <c r="P64"/>
  <c r="R63"/>
  <c r="Q63"/>
  <c r="R61"/>
  <c r="Q61"/>
  <c r="R60"/>
  <c r="Q60"/>
  <c r="P60"/>
  <c r="R59"/>
  <c r="Q59"/>
  <c r="R58"/>
  <c r="P58"/>
  <c r="R57"/>
  <c r="Q57"/>
  <c r="P57"/>
  <c r="R55"/>
  <c r="Q55"/>
  <c r="P55"/>
  <c r="R53"/>
  <c r="P53"/>
  <c r="R52"/>
  <c r="Q52"/>
  <c r="P52"/>
  <c r="R51"/>
  <c r="Q51"/>
  <c r="P51"/>
  <c r="R50"/>
  <c r="Q50"/>
  <c r="R48"/>
  <c r="Q48"/>
  <c r="P48"/>
  <c r="R47"/>
  <c r="Q47"/>
  <c r="P47"/>
  <c r="R43"/>
  <c r="Q43"/>
  <c r="P43"/>
  <c r="R42"/>
  <c r="Q42"/>
  <c r="R41"/>
  <c r="P41"/>
  <c r="R39"/>
  <c r="Q39"/>
  <c r="P39"/>
  <c r="R38"/>
  <c r="Q38"/>
  <c r="P38"/>
  <c r="R37"/>
  <c r="Q37"/>
  <c r="P37"/>
  <c r="R35"/>
  <c r="Q35"/>
  <c r="R32"/>
  <c r="Q32"/>
  <c r="P32"/>
  <c r="R31"/>
  <c r="Q31"/>
  <c r="P31"/>
  <c r="R29"/>
  <c r="Q29"/>
  <c r="P29"/>
  <c r="R23"/>
  <c r="R22"/>
  <c r="Q22"/>
  <c r="P22"/>
  <c r="R19"/>
  <c r="Q19"/>
  <c r="R17"/>
  <c r="Q17"/>
  <c r="P17"/>
  <c r="R16"/>
  <c r="P16"/>
  <c r="R15"/>
  <c r="P15"/>
  <c r="R14"/>
  <c r="Q14"/>
  <c r="P14"/>
  <c r="R13"/>
  <c r="Q13"/>
  <c r="P13"/>
  <c r="R12"/>
  <c r="P12"/>
  <c r="P10"/>
  <c r="R9"/>
  <c r="Q9"/>
  <c r="R8"/>
  <c r="Q8"/>
  <c r="P8"/>
  <c r="R6"/>
  <c r="Q6"/>
  <c r="P6"/>
  <c r="R5"/>
  <c r="Q5"/>
  <c r="P5"/>
  <c r="R4"/>
  <c r="Q4"/>
  <c r="J5" i="1"/>
  <c r="K69" i="3" l="1"/>
  <c r="I11" i="4"/>
  <c r="R79" i="2"/>
  <c r="R98"/>
  <c r="R114"/>
  <c r="R91"/>
  <c r="R93"/>
  <c r="H11" i="4"/>
  <c r="K74" i="3"/>
  <c r="I74"/>
  <c r="J74"/>
  <c r="P123" i="2"/>
  <c r="Q123"/>
  <c r="R101"/>
  <c r="R104"/>
  <c r="R123" l="1"/>
</calcChain>
</file>

<file path=xl/sharedStrings.xml><?xml version="1.0" encoding="utf-8"?>
<sst xmlns="http://schemas.openxmlformats.org/spreadsheetml/2006/main" count="1241" uniqueCount="436">
  <si>
    <t>序号</t>
  </si>
  <si>
    <t>申请企业</t>
  </si>
  <si>
    <t>开航时间</t>
  </si>
  <si>
    <t>申请奖励项目</t>
  </si>
  <si>
    <t>开通航线</t>
  </si>
  <si>
    <t>航次密度</t>
  </si>
  <si>
    <t>箱量</t>
  </si>
  <si>
    <t>奖励标准</t>
  </si>
  <si>
    <t>申请金额</t>
  </si>
  <si>
    <t>备注</t>
  </si>
  <si>
    <t>中联航运有限公司</t>
  </si>
  <si>
    <t>外贸新开航班轮航线资助</t>
  </si>
  <si>
    <t>东莞港-越南海防</t>
  </si>
  <si>
    <t>48/年</t>
  </si>
  <si>
    <t>资助对象</t>
  </si>
  <si>
    <t>资助标准</t>
  </si>
  <si>
    <t>奖励箱量</t>
  </si>
  <si>
    <t>奖励金额（元）</t>
  </si>
  <si>
    <t>TEU</t>
  </si>
  <si>
    <t>FEU</t>
  </si>
  <si>
    <t>东莞建晖纸业有限公司</t>
  </si>
  <si>
    <t>进口收货人</t>
  </si>
  <si>
    <t>外贸进口重箱货源资助</t>
  </si>
  <si>
    <t>200元/TEU、350元/FEU</t>
  </si>
  <si>
    <t>17年已封顶300万,超出部分已核减</t>
  </si>
  <si>
    <t>东莞市铭隆纸业有限公司</t>
  </si>
  <si>
    <t>正隆（广东）纸业有限公司</t>
  </si>
  <si>
    <t>广东理文造纸有限公司</t>
  </si>
  <si>
    <t>合和胶板（东莞）有限公司</t>
  </si>
  <si>
    <t>东莞伟森塑化材料有限公司</t>
  </si>
  <si>
    <t>得创热塑性聚氨酯（东莞）有限公司</t>
  </si>
  <si>
    <t>东莞杰宏高分子有限公司</t>
  </si>
  <si>
    <t>东莞红翔金属导体有限公司</t>
  </si>
  <si>
    <t>东莞市佳值化工有限公司</t>
  </si>
  <si>
    <t>鲁道夫化工（东莞）有限公司</t>
  </si>
  <si>
    <t>东莞永正化工有限公司</t>
  </si>
  <si>
    <t>东莞荣泰塑化材料有限公司</t>
  </si>
  <si>
    <t>东莞联安橡胶有限公司</t>
  </si>
  <si>
    <t>东莞市天牛塑胶原料有限公司</t>
  </si>
  <si>
    <t>东莞井上瑞普橡塑有限公司</t>
  </si>
  <si>
    <t>东莞井上福坤五金橡塑有限公司</t>
  </si>
  <si>
    <t>东莞井上五金橡塑有限公司</t>
  </si>
  <si>
    <t>东莞井上橡塑加工有限公司</t>
  </si>
  <si>
    <t>东莞市慕思寝室用品有限公司</t>
  </si>
  <si>
    <t>东莞金旺儿童用品有限公司</t>
  </si>
  <si>
    <t>东莞申华纺织有限公司</t>
  </si>
  <si>
    <t>东莞新申纺织有限公司</t>
  </si>
  <si>
    <t>东莞铭建五金有限公司</t>
  </si>
  <si>
    <t>东莞世昌五金制品厂有限公司</t>
  </si>
  <si>
    <t>东莞市永钰精密机械有限公司</t>
  </si>
  <si>
    <t>东莞市阿力玛机电科技有限公司</t>
  </si>
  <si>
    <t>东莞启东电线电缆有限公司</t>
  </si>
  <si>
    <t>东莞市虎门港通用仓储有限公司</t>
  </si>
  <si>
    <t>东莞市力龙塑胶原料有限公司</t>
  </si>
  <si>
    <t>东莞市得道贸易有限公司</t>
  </si>
  <si>
    <t>东莞同锂贸易有限公司</t>
  </si>
  <si>
    <t>东莞市炬丞贸易有限公司</t>
  </si>
  <si>
    <t>东莞市统硕进出口贸易有限公司</t>
  </si>
  <si>
    <t>东莞裕发纺织漂染有限公司</t>
  </si>
  <si>
    <t>京瓷办公设备科技（东莞）有限公司</t>
  </si>
  <si>
    <t>东莞市建兴物流有限公司</t>
  </si>
  <si>
    <t>东莞市赛康实业有限公司</t>
  </si>
  <si>
    <t>东莞市龙腾实业有限公司</t>
  </si>
  <si>
    <t>东莞市大易产业链服务有限公司</t>
  </si>
  <si>
    <t>东莞高诠进出口贸易有限公司</t>
  </si>
  <si>
    <t>东莞市丰舟进出口有限公司</t>
  </si>
  <si>
    <t>东莞市德高进出口有限公司</t>
  </si>
  <si>
    <t>东莞雀巢有限公司</t>
  </si>
  <si>
    <t>东莞沙田丽海纺织印染有限公司</t>
  </si>
  <si>
    <t>东莞百宏实业有限公司</t>
  </si>
  <si>
    <t>东莞生森商贸有限公司</t>
  </si>
  <si>
    <t>东莞合发包装制品有限公司</t>
  </si>
  <si>
    <t>东莞铧冠橡塑制品有限公司</t>
  </si>
  <si>
    <t>广东省东莞五金矿产进出口有限公司</t>
  </si>
  <si>
    <t>广东省东莞轻工业品进出口有限公司</t>
  </si>
  <si>
    <t>东莞市骏泰建材贸易有限公司</t>
  </si>
  <si>
    <t>东莞市百昌贸易有限公司</t>
  </si>
  <si>
    <t>东莞市岭南进出口有限公司</t>
  </si>
  <si>
    <t>东莞昊信化工有限公司</t>
  </si>
  <si>
    <t>东莞市拓展实业有限公司</t>
  </si>
  <si>
    <t>东莞市百安石化仓储有限公司</t>
  </si>
  <si>
    <t>东莞日清包装有限公司</t>
  </si>
  <si>
    <t>东莞彬鑫进出口贸易有限公司</t>
  </si>
  <si>
    <t>东莞市源丰纤维制品有限公司</t>
  </si>
  <si>
    <t>东莞市天歌进出口有限公司</t>
  </si>
  <si>
    <t>汤姆森广东显示器件有限公司</t>
  </si>
  <si>
    <t>广东生益科技股份有限公司</t>
  </si>
  <si>
    <t>登泰国际物流（东莞）有限公司</t>
  </si>
  <si>
    <t>中国银行股份有限公司东莞沙田支行</t>
  </si>
  <si>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indexed="8"/>
        <rFont val="宋体"/>
        <family val="3"/>
        <charset val="134"/>
      </rPr>
      <t>70457750094</t>
    </r>
  </si>
  <si>
    <t>金富科技股份有限公司</t>
  </si>
  <si>
    <t>东莞市中外运跨晟电子商务有限公司</t>
  </si>
  <si>
    <t>东莞市聚源贸易有限公司</t>
  </si>
  <si>
    <t>东莞宝赞实业有限公司</t>
  </si>
  <si>
    <t>东莞市对外贸易发展有限公司</t>
  </si>
  <si>
    <t>东莞泉瀚进出口有限公司</t>
  </si>
  <si>
    <t>东莞金洲纸业有限公司</t>
  </si>
  <si>
    <t>东莞顺裕纸业有限公司</t>
  </si>
  <si>
    <t>东莞市金田纸业有限公司</t>
  </si>
  <si>
    <t>聚海供应链（东莞）有限公司</t>
  </si>
  <si>
    <t>东莞市和顺达进出口有限公司</t>
  </si>
  <si>
    <t>东莞华港国际贸易有限公司</t>
  </si>
  <si>
    <t>东莞市旗胜布艺有限公司</t>
  </si>
  <si>
    <t>东莞市搜于特供应链管理有限公司</t>
  </si>
  <si>
    <t>东莞日安木业有限公司</t>
  </si>
  <si>
    <t>东莞海柏国际贸易有限公司</t>
  </si>
  <si>
    <t>广东银禧科技股份有限公司</t>
  </si>
  <si>
    <t>东莞市昂泰精密机械有限公司</t>
  </si>
  <si>
    <t>东莞勤达供应链有限公司</t>
  </si>
  <si>
    <t>东莞市旗峰对外贸易有限公司</t>
  </si>
  <si>
    <t>东莞大日化工厂有限公司</t>
  </si>
  <si>
    <t>东莞戎马家具有限公司</t>
  </si>
  <si>
    <t>东莞市辉鹰兴业皮革有限公司</t>
  </si>
  <si>
    <t>东莞市瀚龙实业有限公司</t>
  </si>
  <si>
    <t>东莞市佳安包装材料有限公司</t>
  </si>
  <si>
    <t>雄进塑料制品（东莞）有限公司</t>
  </si>
  <si>
    <t>东莞市大德顺昌物流有限公司</t>
  </si>
  <si>
    <t>广东恒邦国际物流有限公司</t>
  </si>
  <si>
    <t>东莞市威利实业投资有限公司</t>
  </si>
  <si>
    <t>东莞三星视界有限公司</t>
  </si>
  <si>
    <t>东莞市长正塑胶化工有限公司</t>
  </si>
  <si>
    <t>环球石材（东莞）股份有限公司</t>
  </si>
  <si>
    <t>东莞市昌运仓储有限公司</t>
  </si>
  <si>
    <t>东莞市冠威贸易有限公司</t>
  </si>
  <si>
    <t>东莞市东建进出口有限公司</t>
  </si>
  <si>
    <t>东莞珂霓钢制品有限公司</t>
  </si>
  <si>
    <t>东莞承益制衣有限公司</t>
  </si>
  <si>
    <t>东莞市强科塑胶化工有限公司</t>
  </si>
  <si>
    <t>东莞道滘万宝至马达有限公司</t>
  </si>
  <si>
    <t>东莞市强润纺织品有限公司</t>
  </si>
  <si>
    <t>东莞井上高分子材料有限公司</t>
  </si>
  <si>
    <t>东莞石碣联盛塑胶有限公司</t>
  </si>
  <si>
    <t>东莞市百业国际物流有限公司</t>
  </si>
  <si>
    <t>东莞华科电子有限公司</t>
  </si>
  <si>
    <t>东莞市帝泰正仰贸易有限公司</t>
  </si>
  <si>
    <t>东莞市恒源造纸新材料有限公司</t>
  </si>
  <si>
    <t>东莞市红石山纺织有限公司</t>
  </si>
  <si>
    <t>东莞联达毛纺有限公司</t>
  </si>
  <si>
    <t>东莞新长桥塑料有限公司</t>
  </si>
  <si>
    <t>东莞市瑞联化工贸易有限公司</t>
  </si>
  <si>
    <t>东莞市永和建材贸易有限公司</t>
  </si>
  <si>
    <t>东莞益盛胶片有限公司</t>
  </si>
  <si>
    <t>东莞市欧汇酒业进出口有限公司</t>
  </si>
  <si>
    <t>东莞市金锤进出口贸易有限公司</t>
  </si>
  <si>
    <t>总计</t>
  </si>
  <si>
    <t>上海飞瑞国际货运代理有限公司广州分公司</t>
  </si>
  <si>
    <t>出口订舱人</t>
  </si>
  <si>
    <t>外贸出口重箱货源资助</t>
  </si>
  <si>
    <t>东莞市华卓捷运供应链管理有限公司</t>
  </si>
  <si>
    <t>东莞市赛斯国际货运代理有限公司</t>
  </si>
  <si>
    <t>东莞市富腾国际货运代理有限公司</t>
  </si>
  <si>
    <t>中山市嘉通货运代理有限公司</t>
  </si>
  <si>
    <t>天津航润国际货运代理有限公司</t>
  </si>
  <si>
    <t>深圳市鑫远航国际货运代理有限公司</t>
  </si>
  <si>
    <t>深圳市森邦国际货运有限公司</t>
  </si>
  <si>
    <t>深圳市森邦国际货运有限公司东莞分公司</t>
  </si>
  <si>
    <t>东莞市中运通国际货运代理有限公司</t>
  </si>
  <si>
    <t>深圳市外代国际货运有限公司</t>
  </si>
  <si>
    <t>深圳市中为国际货运有限公司</t>
  </si>
  <si>
    <t>广州泰欣国际货运代理有限公司</t>
  </si>
  <si>
    <t>深圳市龙航国际货运代理有限公司</t>
  </si>
  <si>
    <t>东莞市海志国际货运代理有限公司</t>
  </si>
  <si>
    <t>万达运通国际货运代理有限公司深圳分公司</t>
  </si>
  <si>
    <t>无锡新运国际货物运输代理有限公司</t>
  </si>
  <si>
    <t>深圳市海格物流股份有限公司</t>
  </si>
  <si>
    <t>东莞市聚源供应链管理有限公司</t>
  </si>
  <si>
    <t>深圳市华诚欣国际供应链管理有限公司</t>
  </si>
  <si>
    <t>广东西海供应链管理有限公司</t>
  </si>
  <si>
    <t>新注册公司</t>
  </si>
  <si>
    <t>东莞市联鹏供应链管理有限公司</t>
  </si>
  <si>
    <t>东莞市华诚欣供应链管理有限公司</t>
  </si>
  <si>
    <t>东莞市左敦国际物流有限公司</t>
  </si>
  <si>
    <t>东莞港骏鹏物流有限公司</t>
  </si>
  <si>
    <t>广东博洋国际物流有限公司</t>
  </si>
  <si>
    <t>东莞凯冠国际物流有限公司</t>
  </si>
  <si>
    <t>东莞港百兴国际物流有限公司</t>
  </si>
  <si>
    <t>深圳市华展国际物流有限公司东莞分公司</t>
  </si>
  <si>
    <t>深圳市新新运国际物流有限公司</t>
  </si>
  <si>
    <t>广东航星国际物流有限公司</t>
  </si>
  <si>
    <t>深圳市凌润物流有限公司</t>
  </si>
  <si>
    <t>东莞市行通物流有限公司</t>
  </si>
  <si>
    <t>狮翱物流（深圳）有限公司</t>
  </si>
  <si>
    <t>狮翱物流（深圳）有限公司东莞分公司</t>
  </si>
  <si>
    <t>东莞市虎门港恒龙国际物流有限公司</t>
  </si>
  <si>
    <t>东莞市致力报关报检有限公司</t>
  </si>
  <si>
    <t>东莞市凯诚报关报检有限公司</t>
  </si>
  <si>
    <t>东莞中集专用车有限公司</t>
  </si>
  <si>
    <t>佛山中外运有限公司</t>
  </si>
  <si>
    <t>江苏航华国际船务有限公司</t>
  </si>
  <si>
    <t>广州正鼎储运有限公司</t>
  </si>
  <si>
    <t>裕秀物流（深圳）有限公司</t>
  </si>
  <si>
    <t>东莞市悦诚报关报检有限公司</t>
  </si>
  <si>
    <t>广州海煌国际货运代理有限公司</t>
  </si>
  <si>
    <t>广州格霖士国际货运代理股份有限公司</t>
  </si>
  <si>
    <t>洋浦燊航物流有限公司</t>
  </si>
  <si>
    <t>深圳海元国际物流股份有限公司</t>
  </si>
  <si>
    <t>广东伟腾国际货运代理有限公司</t>
  </si>
  <si>
    <t>广州卓宇国际货运代理有限公司</t>
  </si>
  <si>
    <t>广州洛煌贸易有限公司</t>
  </si>
  <si>
    <t>广东中外运船务代理有限公司东莞分公司</t>
  </si>
  <si>
    <t>广东中外运国际货代有限公司</t>
  </si>
  <si>
    <t>广东中外运国际货代有限公司广州分公司</t>
  </si>
  <si>
    <t>广州市晟安国际货运代理有限公司</t>
  </si>
  <si>
    <t>深圳市华荣物流有限公司</t>
  </si>
  <si>
    <t>广州志辉国际货运代理有限公司</t>
  </si>
  <si>
    <t>东莞港供应链有限公司</t>
  </si>
  <si>
    <t>深圳市海易达国际物流有限公司</t>
  </si>
  <si>
    <t>深圳市海方国际物流有限公司</t>
  </si>
  <si>
    <t>东莞市恒达货运代理有限公司</t>
  </si>
  <si>
    <t>韩中物流（深圳）有限公司东莞分公司</t>
  </si>
  <si>
    <t>东莞市星河国际货运代理有限公司</t>
  </si>
  <si>
    <t>东莞市骏海国际货运代理有限公司</t>
  </si>
  <si>
    <t>接收人：</t>
  </si>
  <si>
    <t>东莞市虎门港报关有限公司</t>
  </si>
  <si>
    <t>出口报关企业</t>
  </si>
  <si>
    <t>外贸出口重箱报关资助</t>
  </si>
  <si>
    <t>50元/自然箱</t>
  </si>
  <si>
    <t>东莞市百兴报关服务有限公司</t>
  </si>
  <si>
    <t>东莞汇通报关报检有限公司</t>
  </si>
  <si>
    <t>东莞市怡兴达报关服务有限公司</t>
  </si>
  <si>
    <t>东莞市思丞贸易有限公司</t>
  </si>
  <si>
    <t>东莞市达通报关服务有限公司</t>
  </si>
  <si>
    <t>项目编号</t>
    <phoneticPr fontId="9" type="noConversion"/>
  </si>
  <si>
    <t>DGG2016-2018BLHX08</t>
    <phoneticPr fontId="9" type="noConversion"/>
  </si>
  <si>
    <t>项目编号</t>
    <phoneticPr fontId="9" type="noConversion"/>
  </si>
  <si>
    <r>
      <t>DGG2016-2018JK</t>
    </r>
    <r>
      <rPr>
        <sz val="11"/>
        <color theme="1"/>
        <rFont val="宋体"/>
        <family val="3"/>
        <charset val="134"/>
        <scheme val="minor"/>
      </rPr>
      <t>ZX0</t>
    </r>
    <r>
      <rPr>
        <sz val="11"/>
        <color theme="1"/>
        <rFont val="宋体"/>
        <family val="3"/>
        <charset val="134"/>
        <scheme val="minor"/>
      </rPr>
      <t>2</t>
    </r>
    <phoneticPr fontId="9" type="noConversion"/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</si>
  <si>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ZX03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</si>
  <si>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ZX04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</si>
  <si>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ZX05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</si>
  <si>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ZX06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</si>
  <si>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ZX07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</si>
  <si>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ZX08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</si>
  <si>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ZX09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</si>
  <si>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ZX10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</si>
  <si>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ZX11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</si>
  <si>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ZX12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</si>
  <si>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ZX13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</si>
  <si>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ZX14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</si>
  <si>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ZX15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</si>
  <si>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ZX16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</si>
  <si>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ZX17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</si>
  <si>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ZX18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</si>
  <si>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ZX19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</si>
  <si>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ZX20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</si>
  <si>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ZX21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</si>
  <si>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ZX22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</si>
  <si>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ZX23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</si>
  <si>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ZX24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</si>
  <si>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ZX25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</si>
  <si>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ZX26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</si>
  <si>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ZX27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</si>
  <si>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ZX28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</si>
  <si>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ZX29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</si>
  <si>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ZX30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</si>
  <si>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ZX31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</si>
  <si>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ZX32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</si>
  <si>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ZX33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</si>
  <si>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ZX34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</si>
  <si>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ZX35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</si>
  <si>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ZX36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</si>
  <si>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ZX37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</si>
  <si>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ZX38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</si>
  <si>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ZX39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</si>
  <si>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ZX40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</si>
  <si>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ZX41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</si>
  <si>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ZX42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</si>
  <si>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ZX43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</si>
  <si>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ZX44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</si>
  <si>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ZX45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</si>
  <si>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ZX46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</si>
  <si>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ZX47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</si>
  <si>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ZX48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</si>
  <si>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ZX49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</si>
  <si>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ZX50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</si>
  <si>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ZX51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</si>
  <si>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ZX52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</si>
  <si>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ZX53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</si>
  <si>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ZX54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</si>
  <si>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ZX55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</si>
  <si>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ZX56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</si>
  <si>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ZX57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</si>
  <si>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ZX58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</si>
  <si>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ZX59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</si>
  <si>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ZX60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</si>
  <si>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ZX61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</si>
  <si>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ZX62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</si>
  <si>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ZX63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</si>
  <si>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ZX64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</si>
  <si>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ZX65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</si>
  <si>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ZX66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</si>
  <si>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ZX67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</si>
  <si>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ZX68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</si>
  <si>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ZX69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</si>
  <si>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ZX70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</si>
  <si>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ZX71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</si>
  <si>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ZX72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</si>
  <si>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ZX73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</si>
  <si>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ZX74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</si>
  <si>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ZX75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</si>
  <si>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ZX76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</si>
  <si>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ZX77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</si>
  <si>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ZX78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</si>
  <si>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ZX79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</si>
  <si>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ZX80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</si>
  <si>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ZX81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</si>
  <si>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ZX82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</si>
  <si>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ZX83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</si>
  <si>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ZX84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</si>
  <si>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ZX85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</si>
  <si>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ZX86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</si>
  <si>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ZX87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</si>
  <si>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ZX88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</si>
  <si>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ZX89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</si>
  <si>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ZX90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</si>
  <si>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ZX91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</si>
  <si>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ZX92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</si>
  <si>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ZX93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</si>
  <si>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ZX94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</si>
  <si>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ZX95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</si>
  <si>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ZX96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</si>
  <si>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ZX97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</si>
  <si>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ZX98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</si>
  <si>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ZX99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</si>
  <si>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ZX100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</si>
  <si>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ZX101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</si>
  <si>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ZX102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</si>
  <si>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ZX103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</si>
  <si>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ZX104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</si>
  <si>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ZX105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</si>
  <si>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ZX106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</si>
  <si>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ZX107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</si>
  <si>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ZX108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</si>
  <si>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ZX109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</si>
  <si>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ZX110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</si>
  <si>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ZX111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</si>
  <si>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ZX112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</si>
  <si>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ZX113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</si>
  <si>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ZX114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</si>
  <si>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ZX115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</si>
  <si>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ZX116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</si>
  <si>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ZX117</t>
    </r>
    <r>
      <rPr>
        <sz val="11"/>
        <color theme="1"/>
        <rFont val="宋体"/>
        <family val="2"/>
        <charset val="134"/>
        <scheme val="minor"/>
      </rPr>
      <t/>
    </r>
  </si>
  <si>
    <r>
      <t>DGG2016-2018JK</t>
    </r>
    <r>
      <rPr>
        <sz val="11"/>
        <color theme="1"/>
        <rFont val="宋体"/>
        <family val="3"/>
        <charset val="134"/>
        <scheme val="minor"/>
      </rPr>
      <t>ZX118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</si>
  <si>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ZX119</t>
    </r>
    <r>
      <rPr>
        <sz val="11"/>
        <color theme="1"/>
        <rFont val="宋体"/>
        <family val="2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</si>
  <si>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JK</t>
    </r>
    <r>
      <rPr>
        <sz val="11"/>
        <color theme="1"/>
        <rFont val="宋体"/>
        <family val="3"/>
        <charset val="134"/>
        <scheme val="minor"/>
      </rPr>
      <t>ZX01</t>
    </r>
    <phoneticPr fontId="9" type="noConversion"/>
  </si>
  <si>
    <r>
      <t>DGG2016-2018C</t>
    </r>
    <r>
      <rPr>
        <sz val="11"/>
        <color theme="1"/>
        <rFont val="宋体"/>
        <family val="3"/>
        <charset val="134"/>
        <scheme val="minor"/>
      </rPr>
      <t>KZX0</t>
    </r>
    <r>
      <rPr>
        <sz val="11"/>
        <color theme="1"/>
        <rFont val="宋体"/>
        <family val="3"/>
        <charset val="134"/>
        <scheme val="minor"/>
      </rPr>
      <t>2</t>
    </r>
    <phoneticPr fontId="9" type="noConversion"/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</si>
  <si>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KZX03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</si>
  <si>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KZX04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</si>
  <si>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KZX05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</si>
  <si>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KZX06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</si>
  <si>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KZX07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</si>
  <si>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KZX08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</si>
  <si>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KZX09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</si>
  <si>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KZX10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</si>
  <si>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KZX11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</si>
  <si>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KZX12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</si>
  <si>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KZX13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</si>
  <si>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KZX14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</si>
  <si>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KZX15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</si>
  <si>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KZX16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</si>
  <si>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KZX17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</si>
  <si>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KZX18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</si>
  <si>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KZX19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</si>
  <si>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KZX20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</si>
  <si>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KZX21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</si>
  <si>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KZX22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</si>
  <si>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KZX23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</si>
  <si>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KZX24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</si>
  <si>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KZX25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</si>
  <si>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KZX26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</si>
  <si>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KZX27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</si>
  <si>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KZX28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</si>
  <si>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KZX29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</si>
  <si>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KZX30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</si>
  <si>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KZX31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</si>
  <si>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KZX32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</si>
  <si>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KZX33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</si>
  <si>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KZX34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</si>
  <si>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KZX35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</si>
  <si>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KZX36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</si>
  <si>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KZX37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</si>
  <si>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KZX38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</si>
  <si>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KZX39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</si>
  <si>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KZX40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</si>
  <si>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KZX41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</si>
  <si>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KZX42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</si>
  <si>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KZX43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</si>
  <si>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KZX44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</si>
  <si>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KZX45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</si>
  <si>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KZX46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</si>
  <si>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KZX47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</si>
  <si>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KZX48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</si>
  <si>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KZX49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</si>
  <si>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KZX50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</si>
  <si>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KZX51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</si>
  <si>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KZX52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</si>
  <si>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KZX53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</si>
  <si>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KZX54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</si>
  <si>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KZX55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</si>
  <si>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KZX56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</si>
  <si>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KZX57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</si>
  <si>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KZX58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</si>
  <si>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KZX59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</si>
  <si>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KZX60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</si>
  <si>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KZX61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</si>
  <si>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KZX62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</si>
  <si>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KZX63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</si>
  <si>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KZX64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</si>
  <si>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KZX65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</si>
  <si>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KZX66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</si>
  <si>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KZX67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</si>
  <si>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KZX68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</si>
  <si>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KZX69</t>
    </r>
    <r>
      <rPr>
        <sz val="11"/>
        <color theme="1"/>
        <rFont val="宋体"/>
        <family val="2"/>
        <charset val="134"/>
        <scheme val="minor"/>
      </rPr>
      <t/>
    </r>
  </si>
  <si>
    <r>
      <t>DGG2016-2018C</t>
    </r>
    <r>
      <rPr>
        <sz val="11"/>
        <color theme="1"/>
        <rFont val="宋体"/>
        <family val="3"/>
        <charset val="134"/>
        <scheme val="minor"/>
      </rPr>
      <t>KZX70</t>
    </r>
    <r>
      <rPr>
        <sz val="11"/>
        <color theme="1"/>
        <rFont val="宋体"/>
        <family val="3"/>
        <charset val="134"/>
        <scheme val="minor"/>
      </rPr>
      <t/>
    </r>
  </si>
  <si>
    <r>
      <t>DGG2016-2018</t>
    </r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KZX01</t>
    </r>
    <phoneticPr fontId="9" type="noConversion"/>
  </si>
  <si>
    <r>
      <t>DGG2016-2018CKZX</t>
    </r>
    <r>
      <rPr>
        <sz val="11"/>
        <color theme="1"/>
        <rFont val="宋体"/>
        <family val="3"/>
        <charset val="134"/>
        <scheme val="minor"/>
      </rPr>
      <t>BG</t>
    </r>
    <r>
      <rPr>
        <sz val="11"/>
        <color theme="1"/>
        <rFont val="宋体"/>
        <family val="3"/>
        <charset val="134"/>
        <scheme val="minor"/>
      </rPr>
      <t>01</t>
    </r>
    <phoneticPr fontId="9" type="noConversion"/>
  </si>
  <si>
    <r>
      <t>DGG2016-2018CKZXBG</t>
    </r>
    <r>
      <rPr>
        <sz val="11"/>
        <color theme="1"/>
        <rFont val="宋体"/>
        <family val="3"/>
        <charset val="134"/>
        <scheme val="minor"/>
      </rPr>
      <t>0</t>
    </r>
    <r>
      <rPr>
        <sz val="11"/>
        <color theme="1"/>
        <rFont val="宋体"/>
        <family val="3"/>
        <charset val="134"/>
        <scheme val="minor"/>
      </rPr>
      <t>2</t>
    </r>
    <phoneticPr fontId="9" type="noConversion"/>
  </si>
  <si>
    <r>
      <t>DGG2016-2018CKZX</t>
    </r>
    <r>
      <rPr>
        <sz val="11"/>
        <color theme="1"/>
        <rFont val="宋体"/>
        <family val="3"/>
        <charset val="134"/>
        <scheme val="minor"/>
      </rPr>
      <t>BG</t>
    </r>
    <r>
      <rPr>
        <sz val="11"/>
        <color theme="1"/>
        <rFont val="宋体"/>
        <family val="3"/>
        <charset val="134"/>
        <scheme val="minor"/>
      </rPr>
      <t>03</t>
    </r>
    <r>
      <rPr>
        <sz val="11"/>
        <color theme="1"/>
        <rFont val="宋体"/>
        <family val="2"/>
        <charset val="134"/>
        <scheme val="minor"/>
      </rPr>
      <t/>
    </r>
  </si>
  <si>
    <r>
      <t>DGG2016-2018CKZXBG</t>
    </r>
    <r>
      <rPr>
        <sz val="11"/>
        <color theme="1"/>
        <rFont val="宋体"/>
        <family val="3"/>
        <charset val="134"/>
        <scheme val="minor"/>
      </rPr>
      <t>04</t>
    </r>
    <r>
      <rPr>
        <sz val="11"/>
        <color theme="1"/>
        <rFont val="宋体"/>
        <family val="3"/>
        <charset val="134"/>
        <scheme val="minor"/>
      </rPr>
      <t/>
    </r>
  </si>
  <si>
    <r>
      <t>DGG2016-2018CKZX</t>
    </r>
    <r>
      <rPr>
        <sz val="11"/>
        <color theme="1"/>
        <rFont val="宋体"/>
        <family val="3"/>
        <charset val="134"/>
        <scheme val="minor"/>
      </rPr>
      <t>BG</t>
    </r>
    <r>
      <rPr>
        <sz val="11"/>
        <color theme="1"/>
        <rFont val="宋体"/>
        <family val="3"/>
        <charset val="134"/>
        <scheme val="minor"/>
      </rPr>
      <t>05</t>
    </r>
    <r>
      <rPr>
        <sz val="11"/>
        <color theme="1"/>
        <rFont val="宋体"/>
        <family val="2"/>
        <charset val="134"/>
        <scheme val="minor"/>
      </rPr>
      <t/>
    </r>
  </si>
  <si>
    <r>
      <t>DGG2016-2018CKZXBG</t>
    </r>
    <r>
      <rPr>
        <sz val="11"/>
        <color theme="1"/>
        <rFont val="宋体"/>
        <family val="3"/>
        <charset val="134"/>
        <scheme val="minor"/>
      </rPr>
      <t>06</t>
    </r>
    <r>
      <rPr>
        <sz val="11"/>
        <color theme="1"/>
        <rFont val="宋体"/>
        <family val="3"/>
        <charset val="134"/>
        <scheme val="minor"/>
      </rPr>
      <t/>
    </r>
  </si>
  <si>
    <r>
      <t>DGG2016-2018CKZX</t>
    </r>
    <r>
      <rPr>
        <sz val="11"/>
        <color theme="1"/>
        <rFont val="宋体"/>
        <family val="3"/>
        <charset val="134"/>
        <scheme val="minor"/>
      </rPr>
      <t>BG</t>
    </r>
    <r>
      <rPr>
        <sz val="11"/>
        <color theme="1"/>
        <rFont val="宋体"/>
        <family val="3"/>
        <charset val="134"/>
        <scheme val="minor"/>
      </rPr>
      <t>07</t>
    </r>
    <r>
      <rPr>
        <sz val="11"/>
        <color theme="1"/>
        <rFont val="宋体"/>
        <family val="2"/>
        <charset val="134"/>
        <scheme val="minor"/>
      </rPr>
      <t/>
    </r>
  </si>
  <si>
    <t>1.开航第一周年内挂靠航次数不少于36航次，一次性300万元；2.第一周年内外贸集装箱进出口箱量不少于5000TEU，一次性资助200万。</t>
    <phoneticPr fontId="9" type="noConversion"/>
  </si>
  <si>
    <t>奖励标准</t>
    <phoneticPr fontId="9" type="noConversion"/>
  </si>
  <si>
    <t>按照50元/自然箱的标准，每家企业资助的额度最高不超过50万元/年。</t>
    <phoneticPr fontId="9" type="noConversion"/>
  </si>
  <si>
    <t>1、按照200元/TEU，350元/FEU的标准给予资助。每家企业的资助额度不超过300万元/年。
2、东莞市新注册的物流公司（货运代理公司或供应链公司），注册第一周年内在东莞港集装箱码头年度出口重箱订舱量，按照250元/TEU，400元/FEU的标准给予资助。该类型企业新注册第一周年资助额度最高不超过300万元/家。</t>
  </si>
  <si>
    <t>1、按照200元/TEU，350元/FEU的标准给予资助。每家企业的资助额度不超过300万元/年。
2、东莞市新注册的物流公司（货运代理公司或供应链公司），注册第一周年内在东莞港集装箱码头年度出口重箱订舱量，按照250元/TEU，400元/FEU的标准给予资助。该类型企业新注册第一周年资助额度最高不超过300万元/家。</t>
    <phoneticPr fontId="9" type="noConversion"/>
  </si>
  <si>
    <t>按照200元/TEU，350元/FEU的标准给予资助，每家企业的资助额度最高不超过300万元/年。</t>
  </si>
  <si>
    <t>按照200元/TEU，350元/FEU的标准给予资助，每家企业的资助额度最高不超过300万元/年。</t>
    <phoneticPr fontId="9" type="noConversion"/>
  </si>
  <si>
    <t>合计</t>
    <phoneticPr fontId="9" type="noConversion"/>
  </si>
  <si>
    <t>申请奖励项目</t>
    <phoneticPr fontId="9" type="noConversion"/>
  </si>
  <si>
    <t>外贸出口重箱货源资助</t>
    <phoneticPr fontId="9" type="noConversion"/>
  </si>
  <si>
    <t>外贸进口重箱货源资助</t>
    <phoneticPr fontId="9" type="noConversion"/>
  </si>
  <si>
    <t>按照200元/TEU，350元/FEU的标准给予资助，每家企业的资助额度最高不超过300万元/年。</t>
    <phoneticPr fontId="9" type="noConversion"/>
  </si>
  <si>
    <t>该笔资金为“东莞市潢涌银洲纸业有限公司”2016年和2017年进口重箱货源资助资金，该公司于2019年4月经税务和工商核准登记，被东莞金洲纸业有限公司合并。因此，上述资金以“东莞金洲纸业有限公司”名义进行申请，而东莞金洲纸业本身也是该资金项目的申报企业。现视为同一主体申报，由于2016年和2017年申报金额超过封顶金额300万元，超出部分不予奖励，目前此项共计补助70500元。</t>
    <phoneticPr fontId="9" type="noConversion"/>
  </si>
  <si>
    <t>第一批已拨付资助：2018年项目：1,241,450元,2017年项目：300万元，2016年项目：2,929,500元。</t>
    <phoneticPr fontId="9" type="noConversion"/>
  </si>
  <si>
    <t>2016-2018年第二批东莞港集装箱码头发展扶持资金申报项目初审结果</t>
    <phoneticPr fontId="9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</si>
</sst>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#,##0_ "/>
  </numFmts>
  <fonts count="1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6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 (正文)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49" fontId="0" fillId="0" borderId="3" xfId="0" applyNumberFormat="1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 wrapText="1"/>
    </xf>
    <xf numFmtId="49" fontId="0" fillId="0" borderId="3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177" fontId="0" fillId="2" borderId="3" xfId="0" applyNumberFormat="1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 wrapText="1"/>
    </xf>
    <xf numFmtId="177" fontId="0" fillId="2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BZ148"/>
  <sheetViews>
    <sheetView tabSelected="1" workbookViewId="0">
      <selection sqref="A1:K1"/>
    </sheetView>
  </sheetViews>
  <sheetFormatPr defaultColWidth="9" defaultRowHeight="13.5"/>
  <cols>
    <col min="1" max="1" width="10" style="24" customWidth="1"/>
    <col min="2" max="2" width="21.625" style="24" customWidth="1"/>
    <col min="3" max="3" width="25.625" style="24" customWidth="1"/>
    <col min="4" max="4" width="12.25" style="24" customWidth="1"/>
    <col min="5" max="5" width="19.5" style="24" customWidth="1"/>
    <col min="6" max="6" width="17.75" style="24" customWidth="1"/>
    <col min="7" max="7" width="9.25" style="24" customWidth="1"/>
    <col min="8" max="8" width="11.75" style="24" customWidth="1"/>
    <col min="9" max="9" width="18.25" style="24" customWidth="1"/>
    <col min="10" max="10" width="14.125" style="24" customWidth="1"/>
    <col min="11" max="11" width="17" style="24" customWidth="1"/>
    <col min="12" max="16384" width="9" style="24"/>
  </cols>
  <sheetData>
    <row r="1" spans="1:78" ht="51" customHeight="1">
      <c r="A1" s="52" t="s">
        <v>435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</row>
    <row r="2" spans="1:78" ht="51" customHeight="1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</row>
    <row r="3" spans="1:78" ht="30.2" customHeight="1">
      <c r="A3" s="12" t="s">
        <v>0</v>
      </c>
      <c r="B3" s="26" t="s">
        <v>224</v>
      </c>
      <c r="C3" s="12" t="s">
        <v>1</v>
      </c>
      <c r="D3" s="12" t="s">
        <v>2</v>
      </c>
      <c r="E3" s="12" t="s">
        <v>3</v>
      </c>
      <c r="F3" s="12" t="s">
        <v>4</v>
      </c>
      <c r="G3" s="12" t="s">
        <v>5</v>
      </c>
      <c r="H3" s="12" t="s">
        <v>6</v>
      </c>
      <c r="I3" s="12" t="s">
        <v>7</v>
      </c>
      <c r="J3" s="12" t="s">
        <v>8</v>
      </c>
      <c r="K3" s="4" t="s">
        <v>9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</row>
    <row r="4" spans="1:78" ht="135.75" customHeight="1">
      <c r="A4" s="4">
        <v>1</v>
      </c>
      <c r="B4" s="27" t="s">
        <v>223</v>
      </c>
      <c r="C4" s="4" t="s">
        <v>10</v>
      </c>
      <c r="D4" s="4">
        <v>2018.12</v>
      </c>
      <c r="E4" s="12" t="s">
        <v>11</v>
      </c>
      <c r="F4" s="4" t="s">
        <v>12</v>
      </c>
      <c r="G4" s="12" t="s">
        <v>13</v>
      </c>
      <c r="H4" s="4">
        <v>5783</v>
      </c>
      <c r="I4" s="26" t="s">
        <v>421</v>
      </c>
      <c r="J4" s="37">
        <v>5000000</v>
      </c>
      <c r="K4" s="4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</row>
    <row r="5" spans="1:78" ht="30.2" customHeight="1">
      <c r="A5" s="26" t="s">
        <v>428</v>
      </c>
      <c r="B5" s="26"/>
      <c r="C5" s="10"/>
      <c r="D5" s="10"/>
      <c r="E5" s="10"/>
      <c r="F5" s="10"/>
      <c r="G5" s="10"/>
      <c r="H5" s="10"/>
      <c r="I5" s="8"/>
      <c r="J5" s="37">
        <f>SUM(J4:J4)</f>
        <v>5000000</v>
      </c>
      <c r="K5" s="3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</row>
    <row r="6" spans="1:78" ht="54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</row>
    <row r="7" spans="1:78">
      <c r="A7" s="25"/>
      <c r="B7" s="25"/>
      <c r="C7" s="25"/>
      <c r="D7" s="25"/>
      <c r="E7" s="25"/>
      <c r="F7" s="25"/>
      <c r="G7" s="25"/>
      <c r="H7" s="25"/>
      <c r="I7" s="25"/>
      <c r="J7" s="2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</row>
    <row r="8" spans="1:78">
      <c r="A8" s="25"/>
      <c r="B8" s="25"/>
      <c r="C8" s="25"/>
      <c r="D8" s="25"/>
      <c r="E8" s="25"/>
      <c r="F8" s="25"/>
      <c r="G8" s="25"/>
      <c r="H8" s="25"/>
      <c r="I8" s="25"/>
      <c r="J8" s="2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</row>
    <row r="9" spans="1:78">
      <c r="A9" s="25"/>
      <c r="B9" s="25"/>
      <c r="C9" s="25"/>
      <c r="D9" s="25"/>
      <c r="E9" s="25"/>
      <c r="F9" s="25"/>
      <c r="G9" s="25"/>
      <c r="H9" s="25"/>
      <c r="I9" s="25"/>
      <c r="J9" s="2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</row>
    <row r="10" spans="1:78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</row>
    <row r="11" spans="1:7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</row>
    <row r="12" spans="1:78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</row>
    <row r="13" spans="1:78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</row>
    <row r="14" spans="1:78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</row>
    <row r="15" spans="1:78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</row>
    <row r="16" spans="1:78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</row>
    <row r="17" spans="1:78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</row>
    <row r="18" spans="1:7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</row>
    <row r="19" spans="1:78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</row>
    <row r="20" spans="1:7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</row>
    <row r="21" spans="1:7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</row>
    <row r="22" spans="1:7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</row>
    <row r="23" spans="1:7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</row>
    <row r="24" spans="1:7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</row>
    <row r="25" spans="1:7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</row>
    <row r="26" spans="1:7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</row>
    <row r="27" spans="1:7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</row>
    <row r="28" spans="1:7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</row>
    <row r="29" spans="1:7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</row>
    <row r="30" spans="1:7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</row>
    <row r="31" spans="1:7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</row>
    <row r="32" spans="1:7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</row>
    <row r="33" spans="1:7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</row>
    <row r="34" spans="1:7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</row>
    <row r="35" spans="1:7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</row>
    <row r="36" spans="1:7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</row>
    <row r="37" spans="1:7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</row>
    <row r="38" spans="1:7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</row>
    <row r="39" spans="1:7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</row>
    <row r="40" spans="1:7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</row>
    <row r="41" spans="1:7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</row>
    <row r="42" spans="1:7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</row>
    <row r="43" spans="1:7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</row>
    <row r="44" spans="1:7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</row>
    <row r="45" spans="1:7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</row>
    <row r="46" spans="1:7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</row>
    <row r="47" spans="1:7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</row>
    <row r="48" spans="1:7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</row>
    <row r="49" spans="1:7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</row>
    <row r="50" spans="1:7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</row>
    <row r="51" spans="1:7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</row>
    <row r="52" spans="1:7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</row>
    <row r="53" spans="1:7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</row>
    <row r="54" spans="1:7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</row>
    <row r="55" spans="1:7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</row>
    <row r="56" spans="1:7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</row>
    <row r="57" spans="1:7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</row>
    <row r="58" spans="1:7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</row>
    <row r="59" spans="1:7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</row>
    <row r="60" spans="1:7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</row>
    <row r="61" spans="1:7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</row>
    <row r="62" spans="1:7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</row>
    <row r="63" spans="1:7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</row>
    <row r="64" spans="1:7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</row>
    <row r="65" spans="1:7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</row>
    <row r="66" spans="1:7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</row>
    <row r="67" spans="1:7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</row>
    <row r="68" spans="1:7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</row>
    <row r="69" spans="1:7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</row>
    <row r="70" spans="1:7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</row>
    <row r="71" spans="1:7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</row>
    <row r="72" spans="1:7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</row>
    <row r="73" spans="1:7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</row>
    <row r="74" spans="1:7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</row>
    <row r="75" spans="1:7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</row>
    <row r="76" spans="1:7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</row>
    <row r="77" spans="1:7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</row>
    <row r="78" spans="1: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</row>
    <row r="79" spans="1:7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</row>
    <row r="80" spans="1:7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</row>
    <row r="81" spans="1:7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</row>
    <row r="82" spans="1:7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</row>
    <row r="83" spans="1:7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</row>
    <row r="84" spans="1:7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</row>
    <row r="85" spans="1:7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</row>
    <row r="86" spans="1:7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</row>
    <row r="87" spans="1:7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</row>
    <row r="88" spans="1:7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</row>
    <row r="89" spans="1:7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</row>
    <row r="90" spans="1:7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</row>
    <row r="91" spans="1:7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</row>
    <row r="92" spans="1:7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</row>
    <row r="93" spans="1:7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</row>
    <row r="94" spans="1:7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</row>
    <row r="95" spans="1:7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</row>
    <row r="96" spans="1:7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</row>
    <row r="97" spans="1:7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</row>
    <row r="98" spans="1:7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</row>
    <row r="99" spans="1:7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</row>
    <row r="100" spans="1:7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</row>
    <row r="101" spans="1:7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</row>
    <row r="102" spans="1:7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</row>
    <row r="103" spans="1:7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</row>
    <row r="104" spans="1:7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</row>
    <row r="105" spans="1:7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</row>
    <row r="106" spans="1:7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</row>
    <row r="107" spans="1:7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</row>
    <row r="108" spans="1:7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</row>
    <row r="109" spans="1:7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</row>
    <row r="110" spans="1:7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</row>
    <row r="111" spans="1:7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</row>
    <row r="112" spans="1:7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</row>
    <row r="113" spans="1:7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</row>
    <row r="114" spans="1:7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</row>
    <row r="115" spans="1:7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</row>
    <row r="116" spans="1:78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</row>
    <row r="117" spans="1:78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</row>
    <row r="118" spans="1:7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</row>
    <row r="119" spans="1:78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</row>
    <row r="120" spans="1:78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</row>
    <row r="121" spans="1:78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</row>
    <row r="122" spans="1:78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</row>
    <row r="123" spans="1:78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</row>
    <row r="124" spans="1:78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</row>
    <row r="125" spans="1:78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</row>
    <row r="126" spans="1:78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</row>
    <row r="127" spans="1:78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</row>
    <row r="128" spans="1:7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</row>
    <row r="129" spans="1:78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</row>
    <row r="130" spans="1:78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</row>
    <row r="131" spans="1:78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</row>
    <row r="132" spans="1:78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</row>
    <row r="133" spans="1:78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</row>
    <row r="134" spans="1:78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</row>
    <row r="135" spans="1:78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</row>
    <row r="136" spans="1:78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</row>
    <row r="137" spans="1:78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</row>
    <row r="138" spans="1:7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</row>
    <row r="139" spans="1:78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</row>
    <row r="140" spans="1:78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</row>
    <row r="141" spans="1:78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</row>
    <row r="142" spans="1:78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</row>
    <row r="143" spans="1:78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</row>
    <row r="144" spans="1:78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</row>
    <row r="145" spans="1:78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</row>
    <row r="146" spans="1:78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</row>
    <row r="147" spans="1:78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</row>
    <row r="148" spans="1:7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</row>
  </sheetData>
  <mergeCells count="3">
    <mergeCell ref="A1:K1"/>
    <mergeCell ref="A6:E6"/>
    <mergeCell ref="F6:J6"/>
  </mergeCells>
  <phoneticPr fontId="9" type="noConversion"/>
  <pageMargins left="0.19685039370078741" right="0.19685039370078741" top="7.874015748031496E-2" bottom="7.874015748031496E-2" header="0.31496062992125984" footer="0.31496062992125984"/>
  <pageSetup paperSize="9" scale="83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T124"/>
  <sheetViews>
    <sheetView zoomScale="85" zoomScaleNormal="85" workbookViewId="0">
      <selection sqref="A1:S1"/>
    </sheetView>
  </sheetViews>
  <sheetFormatPr defaultColWidth="9" defaultRowHeight="13.5"/>
  <cols>
    <col min="1" max="1" width="8.125" style="19" customWidth="1"/>
    <col min="2" max="2" width="21.75" style="19" customWidth="1"/>
    <col min="3" max="3" width="38.625" style="19" customWidth="1"/>
    <col min="4" max="4" width="44.125" style="19" hidden="1" customWidth="1"/>
    <col min="5" max="5" width="13.25" style="19" hidden="1" customWidth="1"/>
    <col min="6" max="6" width="21.625" style="19" hidden="1" customWidth="1"/>
    <col min="7" max="7" width="13" style="19" hidden="1" customWidth="1"/>
    <col min="8" max="8" width="13.5" style="19" hidden="1" customWidth="1"/>
    <col min="9" max="9" width="15.625" style="19" hidden="1" customWidth="1"/>
    <col min="10" max="10" width="14" style="19" hidden="1" customWidth="1"/>
    <col min="11" max="11" width="16.25" style="19" hidden="1" customWidth="1"/>
    <col min="12" max="12" width="29.125" style="11" hidden="1" customWidth="1"/>
    <col min="13" max="14" width="24.125" style="11" customWidth="1"/>
    <col min="15" max="15" width="29.125" style="16" customWidth="1"/>
    <col min="16" max="17" width="17.125" style="11" customWidth="1"/>
    <col min="18" max="18" width="23" style="11" customWidth="1"/>
    <col min="19" max="19" width="26.875" style="21" customWidth="1"/>
    <col min="20" max="16384" width="9" style="19"/>
  </cols>
  <sheetData>
    <row r="1" spans="1:19" ht="44.1" customHeight="1">
      <c r="A1" s="59" t="s">
        <v>435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19" ht="38.1" customHeight="1">
      <c r="A2" s="55" t="s">
        <v>0</v>
      </c>
      <c r="B2" s="60" t="s">
        <v>224</v>
      </c>
      <c r="C2" s="55" t="s">
        <v>1</v>
      </c>
      <c r="D2" s="55" t="s">
        <v>14</v>
      </c>
      <c r="E2" s="55" t="s">
        <v>3</v>
      </c>
      <c r="F2" s="55" t="s">
        <v>15</v>
      </c>
      <c r="G2" s="55" t="s">
        <v>16</v>
      </c>
      <c r="H2" s="55"/>
      <c r="I2" s="55" t="s">
        <v>17</v>
      </c>
      <c r="J2" s="55" t="s">
        <v>9</v>
      </c>
      <c r="K2" s="55"/>
      <c r="L2" s="55" t="s">
        <v>15</v>
      </c>
      <c r="M2" s="62" t="s">
        <v>14</v>
      </c>
      <c r="N2" s="62" t="s">
        <v>429</v>
      </c>
      <c r="O2" s="63" t="s">
        <v>15</v>
      </c>
      <c r="P2" s="55" t="s">
        <v>16</v>
      </c>
      <c r="Q2" s="55"/>
      <c r="R2" s="55" t="s">
        <v>17</v>
      </c>
      <c r="S2" s="57" t="s">
        <v>9</v>
      </c>
    </row>
    <row r="3" spans="1:19" ht="16.350000000000001" customHeight="1">
      <c r="A3" s="55"/>
      <c r="B3" s="61"/>
      <c r="C3" s="55"/>
      <c r="D3" s="55"/>
      <c r="E3" s="55"/>
      <c r="F3" s="55"/>
      <c r="G3" s="7" t="s">
        <v>18</v>
      </c>
      <c r="H3" s="7" t="s">
        <v>19</v>
      </c>
      <c r="I3" s="55"/>
      <c r="J3" s="55"/>
      <c r="K3" s="55"/>
      <c r="L3" s="55"/>
      <c r="M3" s="61"/>
      <c r="N3" s="61"/>
      <c r="O3" s="64"/>
      <c r="P3" s="7" t="s">
        <v>18</v>
      </c>
      <c r="Q3" s="7" t="s">
        <v>19</v>
      </c>
      <c r="R3" s="55"/>
      <c r="S3" s="57"/>
    </row>
    <row r="4" spans="1:19" ht="42.75" customHeight="1">
      <c r="A4" s="4">
        <v>1</v>
      </c>
      <c r="B4" s="27" t="s">
        <v>343</v>
      </c>
      <c r="C4" s="4" t="s">
        <v>20</v>
      </c>
      <c r="D4" s="4" t="s">
        <v>21</v>
      </c>
      <c r="E4" s="12" t="s">
        <v>22</v>
      </c>
      <c r="F4" s="4" t="s">
        <v>23</v>
      </c>
      <c r="G4" s="4"/>
      <c r="H4" s="4">
        <v>20502</v>
      </c>
      <c r="I4" s="6">
        <v>7170950</v>
      </c>
      <c r="J4" s="57" t="s">
        <v>24</v>
      </c>
      <c r="K4" s="57"/>
      <c r="L4" s="4" t="s">
        <v>23</v>
      </c>
      <c r="M4" s="4" t="s">
        <v>21</v>
      </c>
      <c r="N4" s="40" t="s">
        <v>431</v>
      </c>
      <c r="O4" s="54" t="s">
        <v>427</v>
      </c>
      <c r="P4" s="4">
        <v>0</v>
      </c>
      <c r="Q4" s="4">
        <f>46+64+440+694+528+1019</f>
        <v>2791</v>
      </c>
      <c r="R4" s="35">
        <f>16100+22400+154000+242900+184800+356650</f>
        <v>976850</v>
      </c>
      <c r="S4" s="22"/>
    </row>
    <row r="5" spans="1:19" ht="37.35" customHeight="1">
      <c r="A5" s="4">
        <v>2</v>
      </c>
      <c r="B5" s="27" t="s">
        <v>225</v>
      </c>
      <c r="C5" s="4" t="s">
        <v>25</v>
      </c>
      <c r="D5" s="4" t="s">
        <v>21</v>
      </c>
      <c r="E5" s="12" t="s">
        <v>22</v>
      </c>
      <c r="F5" s="4" t="s">
        <v>23</v>
      </c>
      <c r="G5" s="4">
        <v>1304</v>
      </c>
      <c r="H5" s="4">
        <v>97</v>
      </c>
      <c r="I5" s="6">
        <v>294750</v>
      </c>
      <c r="J5" s="56"/>
      <c r="K5" s="56"/>
      <c r="L5" s="4" t="s">
        <v>23</v>
      </c>
      <c r="M5" s="4" t="s">
        <v>21</v>
      </c>
      <c r="N5" s="40" t="s">
        <v>431</v>
      </c>
      <c r="O5" s="54"/>
      <c r="P5" s="4">
        <f>1+1+4+2+1+2</f>
        <v>11</v>
      </c>
      <c r="Q5" s="4">
        <f>26+16+137+210+175+221</f>
        <v>785</v>
      </c>
      <c r="R5" s="35">
        <f>9300+5800+48750+73900+61450+77750</f>
        <v>276950</v>
      </c>
      <c r="S5" s="22"/>
    </row>
    <row r="6" spans="1:19" ht="34.700000000000003" customHeight="1">
      <c r="A6" s="4">
        <v>3</v>
      </c>
      <c r="B6" s="27" t="s">
        <v>226</v>
      </c>
      <c r="C6" s="4" t="s">
        <v>26</v>
      </c>
      <c r="D6" s="4" t="s">
        <v>21</v>
      </c>
      <c r="E6" s="12" t="s">
        <v>22</v>
      </c>
      <c r="F6" s="4" t="s">
        <v>23</v>
      </c>
      <c r="G6" s="4"/>
      <c r="H6" s="4">
        <v>20502</v>
      </c>
      <c r="I6" s="6">
        <v>7170950</v>
      </c>
      <c r="J6" s="57" t="s">
        <v>24</v>
      </c>
      <c r="K6" s="57"/>
      <c r="L6" s="4" t="s">
        <v>23</v>
      </c>
      <c r="M6" s="4" t="s">
        <v>21</v>
      </c>
      <c r="N6" s="40" t="s">
        <v>431</v>
      </c>
      <c r="O6" s="54"/>
      <c r="P6" s="4">
        <f>8+9+21+16</f>
        <v>54</v>
      </c>
      <c r="Q6" s="4">
        <f>159+1025+1069+1264</f>
        <v>3517</v>
      </c>
      <c r="R6" s="35">
        <f>57250+360550+378350+445600</f>
        <v>1241750</v>
      </c>
      <c r="S6" s="22"/>
    </row>
    <row r="7" spans="1:19" ht="35.450000000000003" customHeight="1">
      <c r="A7" s="51">
        <v>4</v>
      </c>
      <c r="B7" s="27" t="s">
        <v>227</v>
      </c>
      <c r="C7" s="4" t="s">
        <v>27</v>
      </c>
      <c r="D7" s="4" t="s">
        <v>21</v>
      </c>
      <c r="E7" s="12" t="s">
        <v>22</v>
      </c>
      <c r="F7" s="4" t="s">
        <v>23</v>
      </c>
      <c r="G7" s="4">
        <v>1304</v>
      </c>
      <c r="H7" s="4">
        <v>97</v>
      </c>
      <c r="I7" s="6">
        <v>294750</v>
      </c>
      <c r="J7" s="56"/>
      <c r="K7" s="56"/>
      <c r="L7" s="4" t="s">
        <v>23</v>
      </c>
      <c r="M7" s="4" t="s">
        <v>21</v>
      </c>
      <c r="N7" s="40" t="s">
        <v>431</v>
      </c>
      <c r="O7" s="54"/>
      <c r="P7" s="4">
        <v>0</v>
      </c>
      <c r="Q7" s="4">
        <v>229</v>
      </c>
      <c r="R7" s="35">
        <v>80150</v>
      </c>
      <c r="S7" s="22"/>
    </row>
    <row r="8" spans="1:19" ht="42.75" customHeight="1">
      <c r="A8" s="51">
        <v>5</v>
      </c>
      <c r="B8" s="27" t="s">
        <v>228</v>
      </c>
      <c r="C8" s="4" t="s">
        <v>28</v>
      </c>
      <c r="D8" s="4" t="s">
        <v>21</v>
      </c>
      <c r="E8" s="12" t="s">
        <v>22</v>
      </c>
      <c r="F8" s="4" t="s">
        <v>23</v>
      </c>
      <c r="G8" s="4"/>
      <c r="H8" s="4">
        <v>20502</v>
      </c>
      <c r="I8" s="6">
        <v>7170950</v>
      </c>
      <c r="J8" s="57" t="s">
        <v>24</v>
      </c>
      <c r="K8" s="57"/>
      <c r="L8" s="4" t="s">
        <v>23</v>
      </c>
      <c r="M8" s="4" t="s">
        <v>21</v>
      </c>
      <c r="N8" s="40" t="s">
        <v>431</v>
      </c>
      <c r="O8" s="54"/>
      <c r="P8" s="4">
        <f>6+3+3+3+5+9</f>
        <v>29</v>
      </c>
      <c r="Q8" s="4">
        <f>27+52+34+51+72+122</f>
        <v>358</v>
      </c>
      <c r="R8" s="35">
        <f>10650+18800+12500+18450+26200+44500</f>
        <v>131100</v>
      </c>
      <c r="S8" s="22"/>
    </row>
    <row r="9" spans="1:19" ht="46.9" customHeight="1">
      <c r="A9" s="51">
        <v>6</v>
      </c>
      <c r="B9" s="27" t="s">
        <v>229</v>
      </c>
      <c r="C9" s="4" t="s">
        <v>29</v>
      </c>
      <c r="D9" s="4" t="s">
        <v>21</v>
      </c>
      <c r="E9" s="12" t="s">
        <v>22</v>
      </c>
      <c r="F9" s="4" t="s">
        <v>23</v>
      </c>
      <c r="G9" s="4">
        <v>1304</v>
      </c>
      <c r="H9" s="4">
        <v>97</v>
      </c>
      <c r="I9" s="6">
        <v>294750</v>
      </c>
      <c r="J9" s="56"/>
      <c r="K9" s="56"/>
      <c r="L9" s="4" t="s">
        <v>23</v>
      </c>
      <c r="M9" s="4" t="s">
        <v>21</v>
      </c>
      <c r="N9" s="40" t="s">
        <v>431</v>
      </c>
      <c r="O9" s="54"/>
      <c r="P9" s="4">
        <v>0</v>
      </c>
      <c r="Q9" s="4">
        <f>21+43+46+66+38+60</f>
        <v>274</v>
      </c>
      <c r="R9" s="35">
        <f>7350+15050+16100+23100+13300+21000</f>
        <v>95900</v>
      </c>
      <c r="S9" s="22"/>
    </row>
    <row r="10" spans="1:19" s="18" customFormat="1" ht="42.75" customHeight="1">
      <c r="A10" s="51">
        <v>7</v>
      </c>
      <c r="B10" s="27" t="s">
        <v>230</v>
      </c>
      <c r="C10" s="4" t="s">
        <v>30</v>
      </c>
      <c r="D10" s="4" t="s">
        <v>21</v>
      </c>
      <c r="E10" s="12" t="s">
        <v>22</v>
      </c>
      <c r="F10" s="4" t="s">
        <v>23</v>
      </c>
      <c r="G10" s="4"/>
      <c r="H10" s="4">
        <v>20502</v>
      </c>
      <c r="I10" s="6">
        <v>7170950</v>
      </c>
      <c r="J10" s="57" t="s">
        <v>24</v>
      </c>
      <c r="K10" s="57"/>
      <c r="L10" s="4" t="s">
        <v>23</v>
      </c>
      <c r="M10" s="4" t="s">
        <v>21</v>
      </c>
      <c r="N10" s="40" t="s">
        <v>431</v>
      </c>
      <c r="O10" s="54"/>
      <c r="P10" s="4">
        <f>55+77+46+70</f>
        <v>248</v>
      </c>
      <c r="Q10" s="4">
        <v>2</v>
      </c>
      <c r="R10" s="35">
        <v>50300</v>
      </c>
      <c r="S10" s="22"/>
    </row>
    <row r="11" spans="1:19" ht="42.2" customHeight="1">
      <c r="A11" s="51">
        <v>8</v>
      </c>
      <c r="B11" s="27" t="s">
        <v>231</v>
      </c>
      <c r="C11" s="4" t="s">
        <v>31</v>
      </c>
      <c r="D11" s="4" t="s">
        <v>21</v>
      </c>
      <c r="E11" s="12" t="s">
        <v>22</v>
      </c>
      <c r="F11" s="4" t="s">
        <v>23</v>
      </c>
      <c r="G11" s="4">
        <v>1304</v>
      </c>
      <c r="H11" s="4">
        <v>97</v>
      </c>
      <c r="I11" s="6">
        <v>294750</v>
      </c>
      <c r="J11" s="56"/>
      <c r="K11" s="56"/>
      <c r="L11" s="4" t="s">
        <v>23</v>
      </c>
      <c r="M11" s="4" t="s">
        <v>21</v>
      </c>
      <c r="N11" s="40" t="s">
        <v>431</v>
      </c>
      <c r="O11" s="54"/>
      <c r="P11" s="4">
        <v>6</v>
      </c>
      <c r="Q11" s="4">
        <v>59</v>
      </c>
      <c r="R11" s="35">
        <v>21850</v>
      </c>
      <c r="S11" s="22"/>
    </row>
    <row r="12" spans="1:19" ht="42.2" customHeight="1">
      <c r="A12" s="51">
        <v>9</v>
      </c>
      <c r="B12" s="27" t="s">
        <v>232</v>
      </c>
      <c r="C12" s="4" t="s">
        <v>32</v>
      </c>
      <c r="D12" s="4" t="s">
        <v>21</v>
      </c>
      <c r="E12" s="12" t="s">
        <v>22</v>
      </c>
      <c r="F12" s="4" t="s">
        <v>23</v>
      </c>
      <c r="G12" s="4"/>
      <c r="H12" s="4">
        <v>20502</v>
      </c>
      <c r="I12" s="6">
        <v>7170950</v>
      </c>
      <c r="J12" s="57" t="s">
        <v>24</v>
      </c>
      <c r="K12" s="57"/>
      <c r="L12" s="4" t="s">
        <v>23</v>
      </c>
      <c r="M12" s="4" t="s">
        <v>21</v>
      </c>
      <c r="N12" s="40" t="s">
        <v>431</v>
      </c>
      <c r="O12" s="54"/>
      <c r="P12" s="4">
        <f>35+15+75+10</f>
        <v>135</v>
      </c>
      <c r="Q12" s="4">
        <v>0</v>
      </c>
      <c r="R12" s="35">
        <f>7000+3000+15000+2000</f>
        <v>27000</v>
      </c>
      <c r="S12" s="22"/>
    </row>
    <row r="13" spans="1:19" ht="39.4" customHeight="1">
      <c r="A13" s="51">
        <v>10</v>
      </c>
      <c r="B13" s="27" t="s">
        <v>233</v>
      </c>
      <c r="C13" s="4" t="s">
        <v>33</v>
      </c>
      <c r="D13" s="4" t="s">
        <v>21</v>
      </c>
      <c r="E13" s="12" t="s">
        <v>22</v>
      </c>
      <c r="F13" s="4" t="s">
        <v>23</v>
      </c>
      <c r="G13" s="4">
        <v>1304</v>
      </c>
      <c r="H13" s="4">
        <v>97</v>
      </c>
      <c r="I13" s="6">
        <v>294750</v>
      </c>
      <c r="J13" s="56"/>
      <c r="K13" s="56"/>
      <c r="L13" s="4" t="s">
        <v>23</v>
      </c>
      <c r="M13" s="4" t="s">
        <v>21</v>
      </c>
      <c r="N13" s="40" t="s">
        <v>431</v>
      </c>
      <c r="O13" s="54"/>
      <c r="P13" s="4">
        <f>13+16+7+6+6+20</f>
        <v>68</v>
      </c>
      <c r="Q13" s="4">
        <f>1+1+2</f>
        <v>4</v>
      </c>
      <c r="R13" s="35">
        <f>2950+3550+2100+1200+1200+4000</f>
        <v>15000</v>
      </c>
      <c r="S13" s="22"/>
    </row>
    <row r="14" spans="1:19" ht="36" customHeight="1">
      <c r="A14" s="51">
        <v>11</v>
      </c>
      <c r="B14" s="27" t="s">
        <v>234</v>
      </c>
      <c r="C14" s="4" t="s">
        <v>34</v>
      </c>
      <c r="D14" s="4" t="s">
        <v>21</v>
      </c>
      <c r="E14" s="12" t="s">
        <v>22</v>
      </c>
      <c r="F14" s="4" t="s">
        <v>23</v>
      </c>
      <c r="G14" s="4"/>
      <c r="H14" s="4">
        <v>20502</v>
      </c>
      <c r="I14" s="6">
        <v>7170950</v>
      </c>
      <c r="J14" s="57" t="s">
        <v>24</v>
      </c>
      <c r="K14" s="57"/>
      <c r="L14" s="4" t="s">
        <v>23</v>
      </c>
      <c r="M14" s="4" t="s">
        <v>21</v>
      </c>
      <c r="N14" s="40" t="s">
        <v>431</v>
      </c>
      <c r="O14" s="54"/>
      <c r="P14" s="4">
        <f>14+35</f>
        <v>49</v>
      </c>
      <c r="Q14" s="4">
        <f>19+37</f>
        <v>56</v>
      </c>
      <c r="R14" s="35">
        <f>9450+19950</f>
        <v>29400</v>
      </c>
      <c r="S14" s="22"/>
    </row>
    <row r="15" spans="1:19" ht="44.1" customHeight="1">
      <c r="A15" s="51">
        <v>12</v>
      </c>
      <c r="B15" s="27" t="s">
        <v>235</v>
      </c>
      <c r="C15" s="4" t="s">
        <v>35</v>
      </c>
      <c r="D15" s="4" t="s">
        <v>21</v>
      </c>
      <c r="E15" s="12" t="s">
        <v>22</v>
      </c>
      <c r="F15" s="4" t="s">
        <v>23</v>
      </c>
      <c r="G15" s="4">
        <v>1304</v>
      </c>
      <c r="H15" s="4">
        <v>97</v>
      </c>
      <c r="I15" s="6">
        <v>294750</v>
      </c>
      <c r="J15" s="56"/>
      <c r="K15" s="56"/>
      <c r="L15" s="4" t="s">
        <v>23</v>
      </c>
      <c r="M15" s="4" t="s">
        <v>21</v>
      </c>
      <c r="N15" s="40" t="s">
        <v>431</v>
      </c>
      <c r="O15" s="54"/>
      <c r="P15" s="4">
        <f>95+135+8</f>
        <v>238</v>
      </c>
      <c r="Q15" s="4">
        <v>0</v>
      </c>
      <c r="R15" s="35">
        <f>19000+27000+1600</f>
        <v>47600</v>
      </c>
      <c r="S15" s="22"/>
    </row>
    <row r="16" spans="1:19" ht="38.85" customHeight="1">
      <c r="A16" s="51">
        <v>13</v>
      </c>
      <c r="B16" s="27" t="s">
        <v>236</v>
      </c>
      <c r="C16" s="4" t="s">
        <v>36</v>
      </c>
      <c r="D16" s="4" t="s">
        <v>21</v>
      </c>
      <c r="E16" s="12" t="s">
        <v>22</v>
      </c>
      <c r="F16" s="4" t="s">
        <v>23</v>
      </c>
      <c r="G16" s="4"/>
      <c r="H16" s="4">
        <v>20502</v>
      </c>
      <c r="I16" s="6">
        <v>7170950</v>
      </c>
      <c r="J16" s="57" t="s">
        <v>24</v>
      </c>
      <c r="K16" s="57"/>
      <c r="L16" s="4" t="s">
        <v>23</v>
      </c>
      <c r="M16" s="4" t="s">
        <v>21</v>
      </c>
      <c r="N16" s="40" t="s">
        <v>431</v>
      </c>
      <c r="O16" s="54"/>
      <c r="P16" s="4">
        <f>65+25</f>
        <v>90</v>
      </c>
      <c r="Q16" s="4">
        <v>0</v>
      </c>
      <c r="R16" s="35">
        <f>13000+5000</f>
        <v>18000</v>
      </c>
      <c r="S16" s="22"/>
    </row>
    <row r="17" spans="1:20" ht="36" customHeight="1">
      <c r="A17" s="51">
        <v>14</v>
      </c>
      <c r="B17" s="27" t="s">
        <v>237</v>
      </c>
      <c r="C17" s="4" t="s">
        <v>37</v>
      </c>
      <c r="D17" s="4" t="s">
        <v>21</v>
      </c>
      <c r="E17" s="12" t="s">
        <v>22</v>
      </c>
      <c r="F17" s="4" t="s">
        <v>23</v>
      </c>
      <c r="G17" s="4">
        <v>1304</v>
      </c>
      <c r="H17" s="4">
        <v>97</v>
      </c>
      <c r="I17" s="6">
        <v>294750</v>
      </c>
      <c r="J17" s="56"/>
      <c r="K17" s="56"/>
      <c r="L17" s="4" t="s">
        <v>23</v>
      </c>
      <c r="M17" s="4" t="s">
        <v>21</v>
      </c>
      <c r="N17" s="40" t="s">
        <v>431</v>
      </c>
      <c r="O17" s="54"/>
      <c r="P17" s="4">
        <f>39+35+32+30+32</f>
        <v>168</v>
      </c>
      <c r="Q17" s="4">
        <f>0+2</f>
        <v>2</v>
      </c>
      <c r="R17" s="35">
        <f>7800+7000+6400+6000+7100</f>
        <v>34300</v>
      </c>
      <c r="S17" s="22"/>
    </row>
    <row r="18" spans="1:20" ht="36" customHeight="1">
      <c r="A18" s="51">
        <v>15</v>
      </c>
      <c r="B18" s="27" t="s">
        <v>238</v>
      </c>
      <c r="C18" s="4" t="s">
        <v>38</v>
      </c>
      <c r="D18" s="4" t="s">
        <v>21</v>
      </c>
      <c r="E18" s="12" t="s">
        <v>22</v>
      </c>
      <c r="F18" s="4" t="s">
        <v>23</v>
      </c>
      <c r="G18" s="4"/>
      <c r="H18" s="4">
        <v>20502</v>
      </c>
      <c r="I18" s="6">
        <v>7170950</v>
      </c>
      <c r="J18" s="57" t="s">
        <v>24</v>
      </c>
      <c r="K18" s="57"/>
      <c r="L18" s="4" t="s">
        <v>23</v>
      </c>
      <c r="M18" s="4" t="s">
        <v>21</v>
      </c>
      <c r="N18" s="40" t="s">
        <v>431</v>
      </c>
      <c r="O18" s="54"/>
      <c r="P18" s="4">
        <v>21</v>
      </c>
      <c r="Q18" s="4">
        <v>0</v>
      </c>
      <c r="R18" s="35">
        <v>4200</v>
      </c>
      <c r="S18" s="22"/>
    </row>
    <row r="19" spans="1:20" ht="38.1" customHeight="1">
      <c r="A19" s="51">
        <v>16</v>
      </c>
      <c r="B19" s="27" t="s">
        <v>239</v>
      </c>
      <c r="C19" s="4" t="s">
        <v>39</v>
      </c>
      <c r="D19" s="4" t="s">
        <v>21</v>
      </c>
      <c r="E19" s="12" t="s">
        <v>22</v>
      </c>
      <c r="F19" s="4" t="s">
        <v>23</v>
      </c>
      <c r="G19" s="4">
        <v>1304</v>
      </c>
      <c r="H19" s="4">
        <v>97</v>
      </c>
      <c r="I19" s="6">
        <v>294750</v>
      </c>
      <c r="J19" s="56"/>
      <c r="K19" s="56"/>
      <c r="L19" s="4" t="s">
        <v>23</v>
      </c>
      <c r="M19" s="4" t="s">
        <v>21</v>
      </c>
      <c r="N19" s="40" t="s">
        <v>431</v>
      </c>
      <c r="O19" s="54"/>
      <c r="P19" s="4">
        <v>2</v>
      </c>
      <c r="Q19" s="4">
        <f>6+10+8+12+7</f>
        <v>43</v>
      </c>
      <c r="R19" s="35">
        <f>2100+3500+2800+4200+2850</f>
        <v>15450</v>
      </c>
      <c r="S19" s="22"/>
    </row>
    <row r="20" spans="1:20" ht="37.35" customHeight="1">
      <c r="A20" s="51">
        <v>17</v>
      </c>
      <c r="B20" s="27" t="s">
        <v>240</v>
      </c>
      <c r="C20" s="4" t="s">
        <v>40</v>
      </c>
      <c r="D20" s="4" t="s">
        <v>21</v>
      </c>
      <c r="E20" s="12" t="s">
        <v>22</v>
      </c>
      <c r="F20" s="4" t="s">
        <v>23</v>
      </c>
      <c r="G20" s="4"/>
      <c r="H20" s="4">
        <v>20502</v>
      </c>
      <c r="I20" s="6">
        <v>7170950</v>
      </c>
      <c r="J20" s="57" t="s">
        <v>24</v>
      </c>
      <c r="K20" s="57"/>
      <c r="L20" s="4" t="s">
        <v>23</v>
      </c>
      <c r="M20" s="4" t="s">
        <v>21</v>
      </c>
      <c r="N20" s="40" t="s">
        <v>431</v>
      </c>
      <c r="O20" s="54"/>
      <c r="P20" s="4">
        <v>15</v>
      </c>
      <c r="Q20" s="4">
        <v>1</v>
      </c>
      <c r="R20" s="35">
        <v>3350</v>
      </c>
      <c r="S20" s="22"/>
    </row>
    <row r="21" spans="1:20" ht="37.35" customHeight="1">
      <c r="A21" s="51">
        <v>18</v>
      </c>
      <c r="B21" s="27" t="s">
        <v>241</v>
      </c>
      <c r="C21" s="4" t="s">
        <v>41</v>
      </c>
      <c r="D21" s="4" t="s">
        <v>21</v>
      </c>
      <c r="E21" s="12" t="s">
        <v>22</v>
      </c>
      <c r="F21" s="4" t="s">
        <v>23</v>
      </c>
      <c r="G21" s="4">
        <v>1304</v>
      </c>
      <c r="H21" s="4">
        <v>97</v>
      </c>
      <c r="I21" s="6">
        <v>294750</v>
      </c>
      <c r="J21" s="56"/>
      <c r="K21" s="56"/>
      <c r="L21" s="4" t="s">
        <v>23</v>
      </c>
      <c r="M21" s="4" t="s">
        <v>21</v>
      </c>
      <c r="N21" s="40" t="s">
        <v>431</v>
      </c>
      <c r="O21" s="54"/>
      <c r="P21" s="4">
        <v>28</v>
      </c>
      <c r="Q21" s="4">
        <v>4</v>
      </c>
      <c r="R21" s="35">
        <v>7000</v>
      </c>
      <c r="S21" s="22"/>
    </row>
    <row r="22" spans="1:20" ht="38.1" customHeight="1">
      <c r="A22" s="51">
        <v>19</v>
      </c>
      <c r="B22" s="27" t="s">
        <v>242</v>
      </c>
      <c r="C22" s="4" t="s">
        <v>42</v>
      </c>
      <c r="D22" s="4" t="s">
        <v>21</v>
      </c>
      <c r="E22" s="12" t="s">
        <v>22</v>
      </c>
      <c r="F22" s="4" t="s">
        <v>23</v>
      </c>
      <c r="G22" s="4"/>
      <c r="H22" s="4">
        <v>20502</v>
      </c>
      <c r="I22" s="6">
        <v>7170950</v>
      </c>
      <c r="J22" s="57" t="s">
        <v>24</v>
      </c>
      <c r="K22" s="57"/>
      <c r="L22" s="4" t="s">
        <v>23</v>
      </c>
      <c r="M22" s="4" t="s">
        <v>21</v>
      </c>
      <c r="N22" s="40" t="s">
        <v>431</v>
      </c>
      <c r="O22" s="54" t="s">
        <v>426</v>
      </c>
      <c r="P22" s="4">
        <f>32+61</f>
        <v>93</v>
      </c>
      <c r="Q22" s="4">
        <f>38+78</f>
        <v>116</v>
      </c>
      <c r="R22" s="35">
        <f>19700+39500</f>
        <v>59200</v>
      </c>
      <c r="S22" s="22"/>
    </row>
    <row r="23" spans="1:20" ht="44.1" customHeight="1">
      <c r="A23" s="51">
        <v>20</v>
      </c>
      <c r="B23" s="27" t="s">
        <v>243</v>
      </c>
      <c r="C23" s="4" t="s">
        <v>43</v>
      </c>
      <c r="D23" s="4" t="s">
        <v>21</v>
      </c>
      <c r="E23" s="12" t="s">
        <v>22</v>
      </c>
      <c r="F23" s="4" t="s">
        <v>23</v>
      </c>
      <c r="G23" s="4">
        <v>1304</v>
      </c>
      <c r="H23" s="4">
        <v>97</v>
      </c>
      <c r="I23" s="6">
        <v>294750</v>
      </c>
      <c r="J23" s="56"/>
      <c r="K23" s="56"/>
      <c r="L23" s="4" t="s">
        <v>23</v>
      </c>
      <c r="M23" s="4" t="s">
        <v>21</v>
      </c>
      <c r="N23" s="40" t="s">
        <v>431</v>
      </c>
      <c r="O23" s="54"/>
      <c r="P23" s="4">
        <v>56</v>
      </c>
      <c r="Q23" s="4">
        <v>445</v>
      </c>
      <c r="R23" s="35">
        <f>9900+12200+20100+124750</f>
        <v>166950</v>
      </c>
      <c r="S23" s="22"/>
    </row>
    <row r="24" spans="1:20" ht="42" customHeight="1">
      <c r="A24" s="51">
        <v>21</v>
      </c>
      <c r="B24" s="27" t="s">
        <v>244</v>
      </c>
      <c r="C24" s="2" t="s">
        <v>44</v>
      </c>
      <c r="D24" s="2" t="s">
        <v>21</v>
      </c>
      <c r="E24" s="5" t="s">
        <v>22</v>
      </c>
      <c r="F24" s="2" t="s">
        <v>23</v>
      </c>
      <c r="G24" s="2"/>
      <c r="H24" s="2">
        <v>20502</v>
      </c>
      <c r="I24" s="3">
        <v>7170950</v>
      </c>
      <c r="J24" s="58" t="s">
        <v>24</v>
      </c>
      <c r="K24" s="58"/>
      <c r="L24" s="2" t="s">
        <v>23</v>
      </c>
      <c r="M24" s="2" t="s">
        <v>21</v>
      </c>
      <c r="N24" s="40" t="s">
        <v>431</v>
      </c>
      <c r="O24" s="54"/>
      <c r="P24" s="2">
        <v>21</v>
      </c>
      <c r="Q24" s="2">
        <v>92</v>
      </c>
      <c r="R24" s="36">
        <v>36400</v>
      </c>
      <c r="S24" s="15"/>
      <c r="T24" s="21"/>
    </row>
    <row r="25" spans="1:20" ht="41.45" customHeight="1">
      <c r="A25" s="51">
        <v>22</v>
      </c>
      <c r="B25" s="27" t="s">
        <v>245</v>
      </c>
      <c r="C25" s="4" t="s">
        <v>45</v>
      </c>
      <c r="D25" s="4" t="s">
        <v>21</v>
      </c>
      <c r="E25" s="12" t="s">
        <v>22</v>
      </c>
      <c r="F25" s="4" t="s">
        <v>23</v>
      </c>
      <c r="G25" s="4">
        <v>1304</v>
      </c>
      <c r="H25" s="4">
        <v>97</v>
      </c>
      <c r="I25" s="6">
        <v>294750</v>
      </c>
      <c r="J25" s="56"/>
      <c r="K25" s="56"/>
      <c r="L25" s="4" t="s">
        <v>23</v>
      </c>
      <c r="M25" s="4" t="s">
        <v>21</v>
      </c>
      <c r="N25" s="40" t="s">
        <v>431</v>
      </c>
      <c r="O25" s="54"/>
      <c r="P25" s="4">
        <v>0</v>
      </c>
      <c r="Q25" s="4">
        <v>80</v>
      </c>
      <c r="R25" s="35">
        <v>28000</v>
      </c>
      <c r="S25" s="22"/>
    </row>
    <row r="26" spans="1:20" ht="48.95" customHeight="1">
      <c r="A26" s="51">
        <v>23</v>
      </c>
      <c r="B26" s="27" t="s">
        <v>246</v>
      </c>
      <c r="C26" s="4" t="s">
        <v>46</v>
      </c>
      <c r="D26" s="4" t="s">
        <v>21</v>
      </c>
      <c r="E26" s="12" t="s">
        <v>22</v>
      </c>
      <c r="F26" s="4" t="s">
        <v>23</v>
      </c>
      <c r="G26" s="4"/>
      <c r="H26" s="4">
        <v>20502</v>
      </c>
      <c r="I26" s="6">
        <v>7170950</v>
      </c>
      <c r="J26" s="57" t="s">
        <v>24</v>
      </c>
      <c r="K26" s="57"/>
      <c r="L26" s="4" t="s">
        <v>23</v>
      </c>
      <c r="M26" s="4" t="s">
        <v>21</v>
      </c>
      <c r="N26" s="40" t="s">
        <v>431</v>
      </c>
      <c r="O26" s="54"/>
      <c r="P26" s="4">
        <v>1</v>
      </c>
      <c r="Q26" s="4">
        <v>40</v>
      </c>
      <c r="R26" s="35">
        <v>14200</v>
      </c>
      <c r="S26" s="22"/>
    </row>
    <row r="27" spans="1:20" ht="43.5" customHeight="1">
      <c r="A27" s="51">
        <v>24</v>
      </c>
      <c r="B27" s="27" t="s">
        <v>247</v>
      </c>
      <c r="C27" s="4" t="s">
        <v>47</v>
      </c>
      <c r="D27" s="4" t="s">
        <v>21</v>
      </c>
      <c r="E27" s="12" t="s">
        <v>22</v>
      </c>
      <c r="F27" s="4" t="s">
        <v>23</v>
      </c>
      <c r="G27" s="4">
        <v>1304</v>
      </c>
      <c r="H27" s="4">
        <v>97</v>
      </c>
      <c r="I27" s="6">
        <v>294750</v>
      </c>
      <c r="J27" s="56"/>
      <c r="K27" s="56"/>
      <c r="L27" s="4" t="s">
        <v>23</v>
      </c>
      <c r="M27" s="4" t="s">
        <v>21</v>
      </c>
      <c r="N27" s="40" t="s">
        <v>431</v>
      </c>
      <c r="O27" s="54"/>
      <c r="P27" s="4">
        <v>169</v>
      </c>
      <c r="Q27" s="4">
        <v>0</v>
      </c>
      <c r="R27" s="35">
        <v>33800</v>
      </c>
      <c r="S27" s="22"/>
    </row>
    <row r="28" spans="1:20" ht="43.5" customHeight="1">
      <c r="A28" s="51">
        <v>25</v>
      </c>
      <c r="B28" s="27" t="s">
        <v>248</v>
      </c>
      <c r="C28" s="4" t="s">
        <v>48</v>
      </c>
      <c r="D28" s="4" t="s">
        <v>21</v>
      </c>
      <c r="E28" s="12" t="s">
        <v>22</v>
      </c>
      <c r="F28" s="4" t="s">
        <v>23</v>
      </c>
      <c r="G28" s="4"/>
      <c r="H28" s="4">
        <v>20502</v>
      </c>
      <c r="I28" s="6">
        <v>7170950</v>
      </c>
      <c r="J28" s="57" t="s">
        <v>24</v>
      </c>
      <c r="K28" s="57"/>
      <c r="L28" s="4" t="s">
        <v>23</v>
      </c>
      <c r="M28" s="4" t="s">
        <v>21</v>
      </c>
      <c r="N28" s="40" t="s">
        <v>431</v>
      </c>
      <c r="O28" s="54"/>
      <c r="P28" s="4">
        <v>38</v>
      </c>
      <c r="Q28" s="4">
        <v>0</v>
      </c>
      <c r="R28" s="35">
        <v>7600</v>
      </c>
      <c r="S28" s="22"/>
    </row>
    <row r="29" spans="1:20" ht="43.5" customHeight="1">
      <c r="A29" s="51">
        <v>26</v>
      </c>
      <c r="B29" s="27" t="s">
        <v>249</v>
      </c>
      <c r="C29" s="4" t="s">
        <v>49</v>
      </c>
      <c r="D29" s="4" t="s">
        <v>21</v>
      </c>
      <c r="E29" s="12" t="s">
        <v>22</v>
      </c>
      <c r="F29" s="4" t="s">
        <v>23</v>
      </c>
      <c r="G29" s="4">
        <v>1304</v>
      </c>
      <c r="H29" s="4">
        <v>97</v>
      </c>
      <c r="I29" s="6">
        <v>294750</v>
      </c>
      <c r="J29" s="56"/>
      <c r="K29" s="56"/>
      <c r="L29" s="4" t="s">
        <v>23</v>
      </c>
      <c r="M29" s="4" t="s">
        <v>21</v>
      </c>
      <c r="N29" s="40" t="s">
        <v>431</v>
      </c>
      <c r="O29" s="54"/>
      <c r="P29" s="4">
        <f>8+13+6+13</f>
        <v>40</v>
      </c>
      <c r="Q29" s="4">
        <f>174+41+136</f>
        <v>351</v>
      </c>
      <c r="R29" s="35">
        <f>65100+50200+15550</f>
        <v>130850</v>
      </c>
      <c r="S29" s="22"/>
    </row>
    <row r="30" spans="1:20" ht="43.5" customHeight="1">
      <c r="A30" s="51">
        <v>27</v>
      </c>
      <c r="B30" s="27" t="s">
        <v>250</v>
      </c>
      <c r="C30" s="4" t="s">
        <v>50</v>
      </c>
      <c r="D30" s="4" t="s">
        <v>21</v>
      </c>
      <c r="E30" s="12" t="s">
        <v>22</v>
      </c>
      <c r="F30" s="4" t="s">
        <v>23</v>
      </c>
      <c r="G30" s="4"/>
      <c r="H30" s="4">
        <v>20502</v>
      </c>
      <c r="I30" s="6">
        <v>7170950</v>
      </c>
      <c r="J30" s="57" t="s">
        <v>24</v>
      </c>
      <c r="K30" s="57"/>
      <c r="L30" s="4" t="s">
        <v>23</v>
      </c>
      <c r="M30" s="4" t="s">
        <v>21</v>
      </c>
      <c r="N30" s="40" t="s">
        <v>431</v>
      </c>
      <c r="O30" s="54"/>
      <c r="P30" s="4">
        <v>31</v>
      </c>
      <c r="Q30" s="4">
        <v>85</v>
      </c>
      <c r="R30" s="35">
        <v>35950</v>
      </c>
      <c r="S30" s="22"/>
    </row>
    <row r="31" spans="1:20" ht="43.5" customHeight="1">
      <c r="A31" s="51">
        <v>28</v>
      </c>
      <c r="B31" s="27" t="s">
        <v>251</v>
      </c>
      <c r="C31" s="4" t="s">
        <v>51</v>
      </c>
      <c r="D31" s="4" t="s">
        <v>21</v>
      </c>
      <c r="E31" s="12" t="s">
        <v>22</v>
      </c>
      <c r="F31" s="4" t="s">
        <v>23</v>
      </c>
      <c r="G31" s="4">
        <v>1304</v>
      </c>
      <c r="H31" s="4">
        <v>97</v>
      </c>
      <c r="I31" s="6">
        <v>294750</v>
      </c>
      <c r="J31" s="56"/>
      <c r="K31" s="56"/>
      <c r="L31" s="4" t="s">
        <v>23</v>
      </c>
      <c r="M31" s="4" t="s">
        <v>21</v>
      </c>
      <c r="N31" s="40" t="s">
        <v>431</v>
      </c>
      <c r="O31" s="54"/>
      <c r="P31" s="4">
        <f>107+102+106+172+100</f>
        <v>587</v>
      </c>
      <c r="Q31" s="4">
        <f>22+17+23+24+2</f>
        <v>88</v>
      </c>
      <c r="R31" s="35">
        <f>29100+26350+29250+42800+20700</f>
        <v>148200</v>
      </c>
      <c r="S31" s="22"/>
    </row>
    <row r="32" spans="1:20" ht="43.5" customHeight="1">
      <c r="A32" s="51">
        <v>29</v>
      </c>
      <c r="B32" s="27" t="s">
        <v>252</v>
      </c>
      <c r="C32" s="4" t="s">
        <v>52</v>
      </c>
      <c r="D32" s="4" t="s">
        <v>21</v>
      </c>
      <c r="E32" s="12" t="s">
        <v>22</v>
      </c>
      <c r="F32" s="4" t="s">
        <v>23</v>
      </c>
      <c r="G32" s="4"/>
      <c r="H32" s="4">
        <v>97</v>
      </c>
      <c r="I32" s="6">
        <v>294750</v>
      </c>
      <c r="J32" s="57" t="s">
        <v>24</v>
      </c>
      <c r="K32" s="57"/>
      <c r="L32" s="4" t="s">
        <v>23</v>
      </c>
      <c r="M32" s="4" t="s">
        <v>21</v>
      </c>
      <c r="N32" s="40" t="s">
        <v>431</v>
      </c>
      <c r="O32" s="54"/>
      <c r="P32" s="4">
        <f>37+67+82+35+40+8</f>
        <v>269</v>
      </c>
      <c r="Q32" s="4">
        <f>87+86+76+3+66+63</f>
        <v>381</v>
      </c>
      <c r="R32" s="35">
        <f>37850+43500+43000+8050+31100+23650</f>
        <v>187150</v>
      </c>
      <c r="S32" s="22"/>
    </row>
    <row r="33" spans="1:20" ht="43.5" customHeight="1">
      <c r="A33" s="51">
        <v>30</v>
      </c>
      <c r="B33" s="27" t="s">
        <v>253</v>
      </c>
      <c r="C33" s="4" t="s">
        <v>53</v>
      </c>
      <c r="D33" s="4" t="s">
        <v>21</v>
      </c>
      <c r="E33" s="12" t="s">
        <v>22</v>
      </c>
      <c r="F33" s="4" t="s">
        <v>23</v>
      </c>
      <c r="G33" s="4">
        <v>1304</v>
      </c>
      <c r="H33" s="4">
        <v>-3984</v>
      </c>
      <c r="I33" s="6">
        <v>-1080490</v>
      </c>
      <c r="J33" s="56"/>
      <c r="K33" s="56"/>
      <c r="L33" s="4" t="s">
        <v>23</v>
      </c>
      <c r="M33" s="4" t="s">
        <v>21</v>
      </c>
      <c r="N33" s="40" t="s">
        <v>431</v>
      </c>
      <c r="O33" s="54"/>
      <c r="P33" s="4">
        <v>310</v>
      </c>
      <c r="Q33" s="4">
        <v>547</v>
      </c>
      <c r="R33" s="35">
        <v>253450</v>
      </c>
      <c r="S33" s="22"/>
    </row>
    <row r="34" spans="1:20" ht="43.5" customHeight="1">
      <c r="A34" s="51">
        <v>31</v>
      </c>
      <c r="B34" s="27" t="s">
        <v>254</v>
      </c>
      <c r="C34" s="4" t="s">
        <v>54</v>
      </c>
      <c r="D34" s="4" t="s">
        <v>21</v>
      </c>
      <c r="E34" s="12" t="s">
        <v>22</v>
      </c>
      <c r="F34" s="4" t="s">
        <v>23</v>
      </c>
      <c r="G34" s="4"/>
      <c r="H34" s="4">
        <v>-8065</v>
      </c>
      <c r="I34" s="6">
        <v>-2455730</v>
      </c>
      <c r="J34" s="57" t="s">
        <v>24</v>
      </c>
      <c r="K34" s="57"/>
      <c r="L34" s="4" t="s">
        <v>23</v>
      </c>
      <c r="M34" s="4" t="s">
        <v>21</v>
      </c>
      <c r="N34" s="40" t="s">
        <v>431</v>
      </c>
      <c r="O34" s="54"/>
      <c r="P34" s="4">
        <v>0</v>
      </c>
      <c r="Q34" s="4">
        <v>375</v>
      </c>
      <c r="R34" s="35">
        <v>131250</v>
      </c>
      <c r="S34" s="22"/>
    </row>
    <row r="35" spans="1:20" ht="43.5" customHeight="1">
      <c r="A35" s="51">
        <v>32</v>
      </c>
      <c r="B35" s="27" t="s">
        <v>255</v>
      </c>
      <c r="C35" s="4" t="s">
        <v>55</v>
      </c>
      <c r="D35" s="4" t="s">
        <v>21</v>
      </c>
      <c r="E35" s="12" t="s">
        <v>22</v>
      </c>
      <c r="F35" s="4" t="s">
        <v>23</v>
      </c>
      <c r="G35" s="4">
        <v>1304</v>
      </c>
      <c r="H35" s="4">
        <v>-12146</v>
      </c>
      <c r="I35" s="6">
        <v>-3830970</v>
      </c>
      <c r="J35" s="56"/>
      <c r="K35" s="56"/>
      <c r="L35" s="4" t="s">
        <v>23</v>
      </c>
      <c r="M35" s="4" t="s">
        <v>21</v>
      </c>
      <c r="N35" s="40" t="s">
        <v>431</v>
      </c>
      <c r="O35" s="54"/>
      <c r="P35" s="4">
        <v>0</v>
      </c>
      <c r="Q35" s="4">
        <f>18+18+22+19+19+21</f>
        <v>117</v>
      </c>
      <c r="R35" s="35">
        <f>6300+6300+7700+6650+6650+7350</f>
        <v>40950</v>
      </c>
      <c r="S35" s="22"/>
    </row>
    <row r="36" spans="1:20" ht="43.5" customHeight="1">
      <c r="A36" s="51">
        <v>33</v>
      </c>
      <c r="B36" s="27" t="s">
        <v>256</v>
      </c>
      <c r="C36" s="4" t="s">
        <v>56</v>
      </c>
      <c r="D36" s="4" t="s">
        <v>21</v>
      </c>
      <c r="E36" s="12" t="s">
        <v>22</v>
      </c>
      <c r="F36" s="4" t="s">
        <v>23</v>
      </c>
      <c r="G36" s="4"/>
      <c r="H36" s="4">
        <v>-16227</v>
      </c>
      <c r="I36" s="6">
        <v>-5206210</v>
      </c>
      <c r="J36" s="57" t="s">
        <v>24</v>
      </c>
      <c r="K36" s="57"/>
      <c r="L36" s="4" t="s">
        <v>23</v>
      </c>
      <c r="M36" s="4" t="s">
        <v>21</v>
      </c>
      <c r="N36" s="40" t="s">
        <v>431</v>
      </c>
      <c r="O36" s="54"/>
      <c r="P36" s="4">
        <v>3180</v>
      </c>
      <c r="Q36" s="4">
        <v>82</v>
      </c>
      <c r="R36" s="35">
        <v>664700</v>
      </c>
      <c r="S36" s="22"/>
    </row>
    <row r="37" spans="1:20" ht="43.5" customHeight="1">
      <c r="A37" s="51">
        <v>34</v>
      </c>
      <c r="B37" s="27" t="s">
        <v>257</v>
      </c>
      <c r="C37" s="4" t="s">
        <v>57</v>
      </c>
      <c r="D37" s="4" t="s">
        <v>21</v>
      </c>
      <c r="E37" s="12" t="s">
        <v>22</v>
      </c>
      <c r="F37" s="4" t="s">
        <v>23</v>
      </c>
      <c r="G37" s="4">
        <v>1304</v>
      </c>
      <c r="H37" s="4">
        <v>-20308</v>
      </c>
      <c r="I37" s="6">
        <v>-6581450</v>
      </c>
      <c r="J37" s="56"/>
      <c r="K37" s="56"/>
      <c r="L37" s="4" t="s">
        <v>23</v>
      </c>
      <c r="M37" s="4" t="s">
        <v>21</v>
      </c>
      <c r="N37" s="40" t="s">
        <v>431</v>
      </c>
      <c r="O37" s="54"/>
      <c r="P37" s="4">
        <f>39+48+31+39+25+19</f>
        <v>201</v>
      </c>
      <c r="Q37" s="4">
        <f>5+7+13+6+20+8</f>
        <v>59</v>
      </c>
      <c r="R37" s="35">
        <f>9550+12050+10750+9900+12000+6600</f>
        <v>60850</v>
      </c>
      <c r="S37" s="22"/>
    </row>
    <row r="38" spans="1:20" s="18" customFormat="1" ht="43.5" customHeight="1">
      <c r="A38" s="51">
        <v>35</v>
      </c>
      <c r="B38" s="27" t="s">
        <v>258</v>
      </c>
      <c r="C38" s="4" t="s">
        <v>58</v>
      </c>
      <c r="D38" s="4" t="s">
        <v>21</v>
      </c>
      <c r="E38" s="12" t="s">
        <v>22</v>
      </c>
      <c r="F38" s="4" t="s">
        <v>23</v>
      </c>
      <c r="G38" s="4"/>
      <c r="H38" s="4">
        <v>-24389</v>
      </c>
      <c r="I38" s="6">
        <v>-7956690</v>
      </c>
      <c r="J38" s="57" t="s">
        <v>24</v>
      </c>
      <c r="K38" s="57"/>
      <c r="L38" s="4" t="s">
        <v>23</v>
      </c>
      <c r="M38" s="4" t="s">
        <v>21</v>
      </c>
      <c r="N38" s="40" t="s">
        <v>431</v>
      </c>
      <c r="O38" s="54"/>
      <c r="P38" s="4">
        <f>6+12+22+28+31</f>
        <v>99</v>
      </c>
      <c r="Q38" s="4">
        <f>54+59+45+46+38</f>
        <v>242</v>
      </c>
      <c r="R38" s="35">
        <f>20100+23050+20150+21700+19500</f>
        <v>104500</v>
      </c>
      <c r="S38" s="22"/>
    </row>
    <row r="39" spans="1:20" ht="43.5" customHeight="1">
      <c r="A39" s="51">
        <v>36</v>
      </c>
      <c r="B39" s="27" t="s">
        <v>259</v>
      </c>
      <c r="C39" s="4" t="s">
        <v>59</v>
      </c>
      <c r="D39" s="4" t="s">
        <v>21</v>
      </c>
      <c r="E39" s="12" t="s">
        <v>22</v>
      </c>
      <c r="F39" s="4" t="s">
        <v>23</v>
      </c>
      <c r="G39" s="4">
        <v>1304</v>
      </c>
      <c r="H39" s="4">
        <v>-28470</v>
      </c>
      <c r="I39" s="6">
        <v>-9331930</v>
      </c>
      <c r="J39" s="56"/>
      <c r="K39" s="56"/>
      <c r="L39" s="4" t="s">
        <v>23</v>
      </c>
      <c r="M39" s="4" t="s">
        <v>21</v>
      </c>
      <c r="N39" s="40" t="s">
        <v>431</v>
      </c>
      <c r="O39" s="54" t="s">
        <v>426</v>
      </c>
      <c r="P39" s="4">
        <f>8+2+10</f>
        <v>20</v>
      </c>
      <c r="Q39" s="4">
        <f>107+159+71</f>
        <v>337</v>
      </c>
      <c r="R39" s="35">
        <f>39050+56050+26850</f>
        <v>121950</v>
      </c>
      <c r="S39" s="22"/>
    </row>
    <row r="40" spans="1:20" ht="48.95" customHeight="1">
      <c r="A40" s="51">
        <v>37</v>
      </c>
      <c r="B40" s="27" t="s">
        <v>260</v>
      </c>
      <c r="C40" s="2" t="s">
        <v>60</v>
      </c>
      <c r="D40" s="2" t="s">
        <v>21</v>
      </c>
      <c r="E40" s="5" t="s">
        <v>22</v>
      </c>
      <c r="F40" s="2" t="s">
        <v>23</v>
      </c>
      <c r="G40" s="2"/>
      <c r="H40" s="2">
        <v>-32551</v>
      </c>
      <c r="I40" s="3">
        <v>-10707170</v>
      </c>
      <c r="J40" s="58" t="s">
        <v>24</v>
      </c>
      <c r="K40" s="58"/>
      <c r="L40" s="2" t="s">
        <v>23</v>
      </c>
      <c r="M40" s="2" t="s">
        <v>21</v>
      </c>
      <c r="N40" s="40" t="s">
        <v>431</v>
      </c>
      <c r="O40" s="54"/>
      <c r="P40" s="2">
        <v>406</v>
      </c>
      <c r="Q40" s="2">
        <v>0</v>
      </c>
      <c r="R40" s="36">
        <v>81200</v>
      </c>
      <c r="S40" s="15"/>
      <c r="T40" s="21"/>
    </row>
    <row r="41" spans="1:20" ht="43.5" customHeight="1">
      <c r="A41" s="51">
        <v>38</v>
      </c>
      <c r="B41" s="27" t="s">
        <v>261</v>
      </c>
      <c r="C41" s="4" t="s">
        <v>61</v>
      </c>
      <c r="D41" s="4" t="s">
        <v>21</v>
      </c>
      <c r="E41" s="12" t="s">
        <v>22</v>
      </c>
      <c r="F41" s="4" t="s">
        <v>23</v>
      </c>
      <c r="G41" s="4">
        <v>1304</v>
      </c>
      <c r="H41" s="4">
        <v>-36632</v>
      </c>
      <c r="I41" s="6">
        <v>-12082410</v>
      </c>
      <c r="J41" s="56"/>
      <c r="K41" s="56"/>
      <c r="L41" s="4" t="s">
        <v>23</v>
      </c>
      <c r="M41" s="4" t="s">
        <v>21</v>
      </c>
      <c r="N41" s="40" t="s">
        <v>431</v>
      </c>
      <c r="O41" s="54"/>
      <c r="P41" s="4">
        <f>28+20+18+14</f>
        <v>80</v>
      </c>
      <c r="Q41" s="4">
        <v>0</v>
      </c>
      <c r="R41" s="35">
        <f>5600+4000+3600+2800</f>
        <v>16000</v>
      </c>
      <c r="S41" s="22"/>
    </row>
    <row r="42" spans="1:20" ht="43.5" customHeight="1">
      <c r="A42" s="51">
        <v>39</v>
      </c>
      <c r="B42" s="27" t="s">
        <v>262</v>
      </c>
      <c r="C42" s="4" t="s">
        <v>62</v>
      </c>
      <c r="D42" s="4" t="s">
        <v>21</v>
      </c>
      <c r="E42" s="12" t="s">
        <v>22</v>
      </c>
      <c r="F42" s="4" t="s">
        <v>23</v>
      </c>
      <c r="G42" s="4"/>
      <c r="H42" s="4">
        <v>-40713</v>
      </c>
      <c r="I42" s="6">
        <v>-13457650</v>
      </c>
      <c r="J42" s="57" t="s">
        <v>24</v>
      </c>
      <c r="K42" s="57"/>
      <c r="L42" s="4" t="s">
        <v>23</v>
      </c>
      <c r="M42" s="4" t="s">
        <v>21</v>
      </c>
      <c r="N42" s="40" t="s">
        <v>431</v>
      </c>
      <c r="O42" s="54"/>
      <c r="P42" s="4">
        <v>0</v>
      </c>
      <c r="Q42" s="4">
        <f>32+104</f>
        <v>136</v>
      </c>
      <c r="R42" s="35">
        <f>11200+36400</f>
        <v>47600</v>
      </c>
      <c r="S42" s="22"/>
    </row>
    <row r="43" spans="1:20" ht="43.5" customHeight="1">
      <c r="A43" s="51">
        <v>40</v>
      </c>
      <c r="B43" s="27" t="s">
        <v>263</v>
      </c>
      <c r="C43" s="4" t="s">
        <v>63</v>
      </c>
      <c r="D43" s="4" t="s">
        <v>21</v>
      </c>
      <c r="E43" s="12" t="s">
        <v>22</v>
      </c>
      <c r="F43" s="4" t="s">
        <v>23</v>
      </c>
      <c r="G43" s="4">
        <v>1304</v>
      </c>
      <c r="H43" s="4">
        <v>-44794</v>
      </c>
      <c r="I43" s="6">
        <v>-14832890</v>
      </c>
      <c r="J43" s="56"/>
      <c r="K43" s="56"/>
      <c r="L43" s="4" t="s">
        <v>23</v>
      </c>
      <c r="M43" s="4" t="s">
        <v>21</v>
      </c>
      <c r="N43" s="40" t="s">
        <v>431</v>
      </c>
      <c r="O43" s="54"/>
      <c r="P43" s="4">
        <f>19+58+14</f>
        <v>91</v>
      </c>
      <c r="Q43" s="4">
        <f>8+13</f>
        <v>21</v>
      </c>
      <c r="R43" s="35">
        <f>6600+16150+2800</f>
        <v>25550</v>
      </c>
      <c r="S43" s="22"/>
    </row>
    <row r="44" spans="1:20" ht="43.5" customHeight="1">
      <c r="A44" s="51">
        <v>41</v>
      </c>
      <c r="B44" s="27" t="s">
        <v>264</v>
      </c>
      <c r="C44" s="4" t="s">
        <v>64</v>
      </c>
      <c r="D44" s="4" t="s">
        <v>21</v>
      </c>
      <c r="E44" s="12" t="s">
        <v>22</v>
      </c>
      <c r="F44" s="4" t="s">
        <v>23</v>
      </c>
      <c r="G44" s="4"/>
      <c r="H44" s="4">
        <v>-48875</v>
      </c>
      <c r="I44" s="6">
        <v>-16208130</v>
      </c>
      <c r="J44" s="57" t="s">
        <v>24</v>
      </c>
      <c r="K44" s="57"/>
      <c r="L44" s="4" t="s">
        <v>23</v>
      </c>
      <c r="M44" s="4" t="s">
        <v>21</v>
      </c>
      <c r="N44" s="40" t="s">
        <v>431</v>
      </c>
      <c r="O44" s="54"/>
      <c r="P44" s="4">
        <v>0</v>
      </c>
      <c r="Q44" s="4">
        <v>44</v>
      </c>
      <c r="R44" s="35">
        <v>15400</v>
      </c>
      <c r="S44" s="22"/>
    </row>
    <row r="45" spans="1:20" ht="43.5" customHeight="1">
      <c r="A45" s="51">
        <v>42</v>
      </c>
      <c r="B45" s="27" t="s">
        <v>265</v>
      </c>
      <c r="C45" s="4" t="s">
        <v>65</v>
      </c>
      <c r="D45" s="4" t="s">
        <v>21</v>
      </c>
      <c r="E45" s="12" t="s">
        <v>22</v>
      </c>
      <c r="F45" s="4" t="s">
        <v>23</v>
      </c>
      <c r="G45" s="4">
        <v>1304</v>
      </c>
      <c r="H45" s="4">
        <v>-52956</v>
      </c>
      <c r="I45" s="6">
        <v>-17583370</v>
      </c>
      <c r="J45" s="56"/>
      <c r="K45" s="56"/>
      <c r="L45" s="4" t="s">
        <v>23</v>
      </c>
      <c r="M45" s="4" t="s">
        <v>21</v>
      </c>
      <c r="N45" s="40" t="s">
        <v>431</v>
      </c>
      <c r="O45" s="54"/>
      <c r="P45" s="4">
        <v>1</v>
      </c>
      <c r="Q45" s="4">
        <v>35</v>
      </c>
      <c r="R45" s="35">
        <v>12450</v>
      </c>
      <c r="S45" s="22"/>
    </row>
    <row r="46" spans="1:20" ht="43.5" customHeight="1">
      <c r="A46" s="51">
        <v>43</v>
      </c>
      <c r="B46" s="27" t="s">
        <v>266</v>
      </c>
      <c r="C46" s="4" t="s">
        <v>66</v>
      </c>
      <c r="D46" s="4" t="s">
        <v>21</v>
      </c>
      <c r="E46" s="12" t="s">
        <v>22</v>
      </c>
      <c r="F46" s="4" t="s">
        <v>23</v>
      </c>
      <c r="G46" s="4"/>
      <c r="H46" s="4">
        <v>-57037</v>
      </c>
      <c r="I46" s="6">
        <v>-18958610</v>
      </c>
      <c r="J46" s="57" t="s">
        <v>24</v>
      </c>
      <c r="K46" s="57"/>
      <c r="L46" s="4" t="s">
        <v>23</v>
      </c>
      <c r="M46" s="4" t="s">
        <v>21</v>
      </c>
      <c r="N46" s="40" t="s">
        <v>431</v>
      </c>
      <c r="O46" s="54"/>
      <c r="P46" s="4">
        <v>0</v>
      </c>
      <c r="Q46" s="4">
        <v>303</v>
      </c>
      <c r="R46" s="35">
        <v>106050</v>
      </c>
      <c r="S46" s="22"/>
    </row>
    <row r="47" spans="1:20" ht="43.5" customHeight="1">
      <c r="A47" s="51">
        <v>44</v>
      </c>
      <c r="B47" s="27" t="s">
        <v>267</v>
      </c>
      <c r="C47" s="4" t="s">
        <v>67</v>
      </c>
      <c r="D47" s="4" t="s">
        <v>21</v>
      </c>
      <c r="E47" s="12" t="s">
        <v>22</v>
      </c>
      <c r="F47" s="4" t="s">
        <v>23</v>
      </c>
      <c r="G47" s="4">
        <v>1304</v>
      </c>
      <c r="H47" s="4">
        <v>-61118</v>
      </c>
      <c r="I47" s="6">
        <v>-20333850</v>
      </c>
      <c r="J47" s="56"/>
      <c r="K47" s="56"/>
      <c r="L47" s="4" t="s">
        <v>23</v>
      </c>
      <c r="M47" s="4" t="s">
        <v>21</v>
      </c>
      <c r="N47" s="40" t="s">
        <v>431</v>
      </c>
      <c r="O47" s="54"/>
      <c r="P47" s="4">
        <f>236+167</f>
        <v>403</v>
      </c>
      <c r="Q47" s="4">
        <f>23+216</f>
        <v>239</v>
      </c>
      <c r="R47" s="35">
        <f>47200+33400+8050+75600</f>
        <v>164250</v>
      </c>
      <c r="S47" s="22"/>
    </row>
    <row r="48" spans="1:20" ht="43.5" customHeight="1">
      <c r="A48" s="51">
        <v>45</v>
      </c>
      <c r="B48" s="27" t="s">
        <v>268</v>
      </c>
      <c r="C48" s="4" t="s">
        <v>68</v>
      </c>
      <c r="D48" s="4" t="s">
        <v>21</v>
      </c>
      <c r="E48" s="12" t="s">
        <v>22</v>
      </c>
      <c r="F48" s="4" t="s">
        <v>23</v>
      </c>
      <c r="G48" s="4"/>
      <c r="H48" s="4">
        <v>-65199</v>
      </c>
      <c r="I48" s="6">
        <v>-21709090</v>
      </c>
      <c r="J48" s="57" t="s">
        <v>24</v>
      </c>
      <c r="K48" s="57"/>
      <c r="L48" s="4" t="s">
        <v>23</v>
      </c>
      <c r="M48" s="4" t="s">
        <v>21</v>
      </c>
      <c r="N48" s="40" t="s">
        <v>431</v>
      </c>
      <c r="O48" s="54"/>
      <c r="P48" s="4">
        <f>80+75+81+38+75+98</f>
        <v>447</v>
      </c>
      <c r="Q48" s="4">
        <f>354+339+336+277+296+382</f>
        <v>1984</v>
      </c>
      <c r="R48" s="35">
        <f>139900+133650+133800+104550+118600+153300</f>
        <v>783800</v>
      </c>
      <c r="S48" s="22"/>
    </row>
    <row r="49" spans="1:19" ht="43.5" customHeight="1">
      <c r="A49" s="51">
        <v>46</v>
      </c>
      <c r="B49" s="27" t="s">
        <v>269</v>
      </c>
      <c r="C49" s="4" t="s">
        <v>69</v>
      </c>
      <c r="D49" s="4" t="s">
        <v>21</v>
      </c>
      <c r="E49" s="12" t="s">
        <v>22</v>
      </c>
      <c r="F49" s="4" t="s">
        <v>23</v>
      </c>
      <c r="G49" s="4">
        <v>1304</v>
      </c>
      <c r="H49" s="4">
        <v>-69280</v>
      </c>
      <c r="I49" s="6">
        <v>-23084330</v>
      </c>
      <c r="J49" s="56"/>
      <c r="K49" s="56"/>
      <c r="L49" s="4" t="s">
        <v>23</v>
      </c>
      <c r="M49" s="4" t="s">
        <v>21</v>
      </c>
      <c r="N49" s="40" t="s">
        <v>431</v>
      </c>
      <c r="O49" s="54"/>
      <c r="P49" s="4">
        <v>69</v>
      </c>
      <c r="Q49" s="4">
        <v>372</v>
      </c>
      <c r="R49" s="35">
        <v>144000</v>
      </c>
      <c r="S49" s="22"/>
    </row>
    <row r="50" spans="1:19" ht="43.5" customHeight="1">
      <c r="A50" s="51">
        <v>47</v>
      </c>
      <c r="B50" s="27" t="s">
        <v>270</v>
      </c>
      <c r="C50" s="4" t="s">
        <v>70</v>
      </c>
      <c r="D50" s="4" t="s">
        <v>21</v>
      </c>
      <c r="E50" s="12" t="s">
        <v>22</v>
      </c>
      <c r="F50" s="4" t="s">
        <v>23</v>
      </c>
      <c r="G50" s="4"/>
      <c r="H50" s="4">
        <v>-73361</v>
      </c>
      <c r="I50" s="6">
        <v>-24459570</v>
      </c>
      <c r="J50" s="57" t="s">
        <v>24</v>
      </c>
      <c r="K50" s="57"/>
      <c r="L50" s="4" t="s">
        <v>23</v>
      </c>
      <c r="M50" s="4" t="s">
        <v>21</v>
      </c>
      <c r="N50" s="40" t="s">
        <v>431</v>
      </c>
      <c r="O50" s="54"/>
      <c r="P50" s="4">
        <v>0</v>
      </c>
      <c r="Q50" s="4">
        <f>28+75</f>
        <v>103</v>
      </c>
      <c r="R50" s="35">
        <f>9800+26250</f>
        <v>36050</v>
      </c>
      <c r="S50" s="22"/>
    </row>
    <row r="51" spans="1:19" ht="43.5" customHeight="1">
      <c r="A51" s="51">
        <v>48</v>
      </c>
      <c r="B51" s="27" t="s">
        <v>271</v>
      </c>
      <c r="C51" s="4" t="s">
        <v>71</v>
      </c>
      <c r="D51" s="4" t="s">
        <v>21</v>
      </c>
      <c r="E51" s="12" t="s">
        <v>22</v>
      </c>
      <c r="F51" s="4" t="s">
        <v>23</v>
      </c>
      <c r="G51" s="4">
        <v>1304</v>
      </c>
      <c r="H51" s="4">
        <v>-77442</v>
      </c>
      <c r="I51" s="6">
        <v>-25834810</v>
      </c>
      <c r="J51" s="56"/>
      <c r="K51" s="56"/>
      <c r="L51" s="4" t="s">
        <v>23</v>
      </c>
      <c r="M51" s="4" t="s">
        <v>21</v>
      </c>
      <c r="N51" s="40" t="s">
        <v>431</v>
      </c>
      <c r="O51" s="54"/>
      <c r="P51" s="4">
        <f>20+12</f>
        <v>32</v>
      </c>
      <c r="Q51" s="4">
        <f>8+96+28+52+48+24</f>
        <v>256</v>
      </c>
      <c r="R51" s="35">
        <f>2800+33600+9800+22200+16800+10800</f>
        <v>96000</v>
      </c>
      <c r="S51" s="22"/>
    </row>
    <row r="52" spans="1:19" ht="43.5" customHeight="1">
      <c r="A52" s="51">
        <v>49</v>
      </c>
      <c r="B52" s="27" t="s">
        <v>272</v>
      </c>
      <c r="C52" s="4" t="s">
        <v>72</v>
      </c>
      <c r="D52" s="4" t="s">
        <v>21</v>
      </c>
      <c r="E52" s="12" t="s">
        <v>22</v>
      </c>
      <c r="F52" s="4" t="s">
        <v>23</v>
      </c>
      <c r="G52" s="4"/>
      <c r="H52" s="4">
        <v>-81523</v>
      </c>
      <c r="I52" s="6">
        <v>-27210050</v>
      </c>
      <c r="J52" s="57" t="s">
        <v>24</v>
      </c>
      <c r="K52" s="57"/>
      <c r="L52" s="4" t="s">
        <v>23</v>
      </c>
      <c r="M52" s="4" t="s">
        <v>21</v>
      </c>
      <c r="N52" s="40" t="s">
        <v>431</v>
      </c>
      <c r="O52" s="54"/>
      <c r="P52" s="4">
        <f>24+13+50</f>
        <v>87</v>
      </c>
      <c r="Q52" s="4">
        <f>2+2</f>
        <v>4</v>
      </c>
      <c r="R52" s="35">
        <f>5500+3300+10000</f>
        <v>18800</v>
      </c>
      <c r="S52" s="22"/>
    </row>
    <row r="53" spans="1:19" ht="43.5" customHeight="1">
      <c r="A53" s="51">
        <v>50</v>
      </c>
      <c r="B53" s="27" t="s">
        <v>273</v>
      </c>
      <c r="C53" s="4" t="s">
        <v>73</v>
      </c>
      <c r="D53" s="4" t="s">
        <v>21</v>
      </c>
      <c r="E53" s="12" t="s">
        <v>22</v>
      </c>
      <c r="F53" s="4" t="s">
        <v>23</v>
      </c>
      <c r="G53" s="4">
        <v>1304</v>
      </c>
      <c r="H53" s="4">
        <v>-85604</v>
      </c>
      <c r="I53" s="6">
        <v>-28585290</v>
      </c>
      <c r="J53" s="56"/>
      <c r="K53" s="56"/>
      <c r="L53" s="4" t="s">
        <v>23</v>
      </c>
      <c r="M53" s="4" t="s">
        <v>21</v>
      </c>
      <c r="N53" s="40" t="s">
        <v>431</v>
      </c>
      <c r="O53" s="54"/>
      <c r="P53" s="4">
        <f>54+27+13+7</f>
        <v>101</v>
      </c>
      <c r="Q53" s="4">
        <v>9</v>
      </c>
      <c r="R53" s="35">
        <f>10800+5400+2600+4550</f>
        <v>23350</v>
      </c>
      <c r="S53" s="22"/>
    </row>
    <row r="54" spans="1:19" ht="43.5" customHeight="1">
      <c r="A54" s="51">
        <v>51</v>
      </c>
      <c r="B54" s="27" t="s">
        <v>274</v>
      </c>
      <c r="C54" s="4" t="s">
        <v>74</v>
      </c>
      <c r="D54" s="4" t="s">
        <v>21</v>
      </c>
      <c r="E54" s="12"/>
      <c r="F54" s="4"/>
      <c r="G54" s="4"/>
      <c r="H54" s="4"/>
      <c r="I54" s="6"/>
      <c r="J54" s="56"/>
      <c r="K54" s="56"/>
      <c r="L54" s="4" t="s">
        <v>23</v>
      </c>
      <c r="M54" s="4" t="s">
        <v>21</v>
      </c>
      <c r="N54" s="40" t="s">
        <v>431</v>
      </c>
      <c r="O54" s="54"/>
      <c r="P54" s="4">
        <v>60</v>
      </c>
      <c r="Q54" s="4">
        <v>0</v>
      </c>
      <c r="R54" s="35">
        <v>12000</v>
      </c>
      <c r="S54" s="22"/>
    </row>
    <row r="55" spans="1:19" ht="43.5" customHeight="1">
      <c r="A55" s="51">
        <v>52</v>
      </c>
      <c r="B55" s="27" t="s">
        <v>275</v>
      </c>
      <c r="C55" s="4" t="s">
        <v>75</v>
      </c>
      <c r="D55" s="4" t="s">
        <v>21</v>
      </c>
      <c r="E55" s="12" t="s">
        <v>22</v>
      </c>
      <c r="F55" s="4" t="s">
        <v>23</v>
      </c>
      <c r="G55" s="4"/>
      <c r="H55" s="4">
        <v>-73361</v>
      </c>
      <c r="I55" s="6">
        <v>-24459570</v>
      </c>
      <c r="J55" s="57" t="s">
        <v>24</v>
      </c>
      <c r="K55" s="57"/>
      <c r="L55" s="4" t="s">
        <v>23</v>
      </c>
      <c r="M55" s="4" t="s">
        <v>21</v>
      </c>
      <c r="N55" s="40" t="s">
        <v>431</v>
      </c>
      <c r="O55" s="54" t="s">
        <v>426</v>
      </c>
      <c r="P55" s="4">
        <f>11+17+21+23+24+18</f>
        <v>114</v>
      </c>
      <c r="Q55" s="4">
        <f>13+33+9+20+21+9</f>
        <v>105</v>
      </c>
      <c r="R55" s="35">
        <f>6750+14950+7350+11600+12150+6750</f>
        <v>59550</v>
      </c>
      <c r="S55" s="22"/>
    </row>
    <row r="56" spans="1:19" ht="43.5" customHeight="1">
      <c r="A56" s="51">
        <v>53</v>
      </c>
      <c r="B56" s="27" t="s">
        <v>276</v>
      </c>
      <c r="C56" s="4" t="s">
        <v>76</v>
      </c>
      <c r="D56" s="4" t="s">
        <v>21</v>
      </c>
      <c r="E56" s="12" t="s">
        <v>22</v>
      </c>
      <c r="F56" s="4" t="s">
        <v>23</v>
      </c>
      <c r="G56" s="4">
        <v>1304</v>
      </c>
      <c r="H56" s="4">
        <v>-77442</v>
      </c>
      <c r="I56" s="6">
        <v>-25834810</v>
      </c>
      <c r="J56" s="56"/>
      <c r="K56" s="56"/>
      <c r="L56" s="4" t="s">
        <v>23</v>
      </c>
      <c r="M56" s="4" t="s">
        <v>21</v>
      </c>
      <c r="N56" s="40" t="s">
        <v>431</v>
      </c>
      <c r="O56" s="54"/>
      <c r="P56" s="4">
        <v>186</v>
      </c>
      <c r="Q56" s="4">
        <v>146</v>
      </c>
      <c r="R56" s="35">
        <v>88300</v>
      </c>
      <c r="S56" s="22"/>
    </row>
    <row r="57" spans="1:19" ht="43.5" customHeight="1">
      <c r="A57" s="51">
        <v>54</v>
      </c>
      <c r="B57" s="27" t="s">
        <v>277</v>
      </c>
      <c r="C57" s="4" t="s">
        <v>77</v>
      </c>
      <c r="D57" s="4" t="s">
        <v>21</v>
      </c>
      <c r="E57" s="12" t="s">
        <v>22</v>
      </c>
      <c r="F57" s="4" t="s">
        <v>23</v>
      </c>
      <c r="G57" s="4"/>
      <c r="H57" s="4">
        <v>-81523</v>
      </c>
      <c r="I57" s="6">
        <v>-27210050</v>
      </c>
      <c r="J57" s="57" t="s">
        <v>24</v>
      </c>
      <c r="K57" s="57"/>
      <c r="L57" s="4" t="s">
        <v>23</v>
      </c>
      <c r="M57" s="4" t="s">
        <v>21</v>
      </c>
      <c r="N57" s="40" t="s">
        <v>431</v>
      </c>
      <c r="O57" s="54"/>
      <c r="P57" s="4">
        <f>7+13+9+1</f>
        <v>30</v>
      </c>
      <c r="Q57" s="4">
        <f>4+5+5+10</f>
        <v>24</v>
      </c>
      <c r="R57" s="35">
        <f>2800+4350+3550+1750+1950</f>
        <v>14400</v>
      </c>
      <c r="S57" s="22"/>
    </row>
    <row r="58" spans="1:19" ht="43.5" customHeight="1">
      <c r="A58" s="51">
        <v>55</v>
      </c>
      <c r="B58" s="27" t="s">
        <v>278</v>
      </c>
      <c r="C58" s="4" t="s">
        <v>78</v>
      </c>
      <c r="D58" s="4" t="s">
        <v>21</v>
      </c>
      <c r="E58" s="12" t="s">
        <v>22</v>
      </c>
      <c r="F58" s="4" t="s">
        <v>23</v>
      </c>
      <c r="G58" s="4">
        <v>1304</v>
      </c>
      <c r="H58" s="4">
        <v>-85604</v>
      </c>
      <c r="I58" s="6">
        <v>-28585290</v>
      </c>
      <c r="J58" s="56"/>
      <c r="K58" s="56"/>
      <c r="L58" s="4" t="s">
        <v>23</v>
      </c>
      <c r="M58" s="4" t="s">
        <v>21</v>
      </c>
      <c r="N58" s="40" t="s">
        <v>431</v>
      </c>
      <c r="O58" s="54"/>
      <c r="P58" s="4">
        <f>10+17+11+6+23+10</f>
        <v>77</v>
      </c>
      <c r="Q58" s="4">
        <v>0</v>
      </c>
      <c r="R58" s="35">
        <f>2000+3400+2200+1200+4600+2000</f>
        <v>15400</v>
      </c>
      <c r="S58" s="22"/>
    </row>
    <row r="59" spans="1:19" ht="43.5" customHeight="1">
      <c r="A59" s="51">
        <v>56</v>
      </c>
      <c r="B59" s="27" t="s">
        <v>279</v>
      </c>
      <c r="C59" s="4" t="s">
        <v>79</v>
      </c>
      <c r="D59" s="4" t="s">
        <v>21</v>
      </c>
      <c r="E59" s="12"/>
      <c r="F59" s="4"/>
      <c r="G59" s="4"/>
      <c r="H59" s="4"/>
      <c r="I59" s="6"/>
      <c r="J59" s="56"/>
      <c r="K59" s="56"/>
      <c r="L59" s="4" t="s">
        <v>23</v>
      </c>
      <c r="M59" s="4" t="s">
        <v>21</v>
      </c>
      <c r="N59" s="40" t="s">
        <v>431</v>
      </c>
      <c r="O59" s="54"/>
      <c r="P59" s="4">
        <v>0</v>
      </c>
      <c r="Q59" s="4">
        <f>769+635+61+13</f>
        <v>1478</v>
      </c>
      <c r="R59" s="35">
        <f>269150+222250+21350+4550</f>
        <v>517300</v>
      </c>
      <c r="S59" s="22"/>
    </row>
    <row r="60" spans="1:19" ht="43.5" customHeight="1">
      <c r="A60" s="51">
        <v>57</v>
      </c>
      <c r="B60" s="27" t="s">
        <v>280</v>
      </c>
      <c r="C60" s="4" t="s">
        <v>80</v>
      </c>
      <c r="D60" s="4" t="s">
        <v>21</v>
      </c>
      <c r="E60" s="12" t="s">
        <v>22</v>
      </c>
      <c r="F60" s="4" t="s">
        <v>23</v>
      </c>
      <c r="G60" s="4"/>
      <c r="H60" s="4">
        <v>-73361</v>
      </c>
      <c r="I60" s="6">
        <v>-24459570</v>
      </c>
      <c r="J60" s="57" t="s">
        <v>24</v>
      </c>
      <c r="K60" s="57"/>
      <c r="L60" s="4" t="s">
        <v>23</v>
      </c>
      <c r="M60" s="4" t="s">
        <v>21</v>
      </c>
      <c r="N60" s="40" t="s">
        <v>431</v>
      </c>
      <c r="O60" s="54"/>
      <c r="P60" s="4">
        <f>71+147+102+68+30</f>
        <v>418</v>
      </c>
      <c r="Q60" s="4">
        <f>39+58+5</f>
        <v>102</v>
      </c>
      <c r="R60" s="35">
        <f>27850+49700+20400+15350+6000</f>
        <v>119300</v>
      </c>
      <c r="S60" s="22"/>
    </row>
    <row r="61" spans="1:19" ht="43.5" customHeight="1">
      <c r="A61" s="51">
        <v>58</v>
      </c>
      <c r="B61" s="27" t="s">
        <v>281</v>
      </c>
      <c r="C61" s="4" t="s">
        <v>81</v>
      </c>
      <c r="D61" s="4" t="s">
        <v>21</v>
      </c>
      <c r="E61" s="12" t="s">
        <v>22</v>
      </c>
      <c r="F61" s="4" t="s">
        <v>23</v>
      </c>
      <c r="G61" s="4">
        <v>1304</v>
      </c>
      <c r="H61" s="4">
        <v>-77442</v>
      </c>
      <c r="I61" s="6">
        <v>-25834810</v>
      </c>
      <c r="J61" s="56"/>
      <c r="K61" s="56"/>
      <c r="L61" s="4" t="s">
        <v>23</v>
      </c>
      <c r="M61" s="4" t="s">
        <v>21</v>
      </c>
      <c r="N61" s="40" t="s">
        <v>431</v>
      </c>
      <c r="O61" s="54"/>
      <c r="P61" s="4">
        <v>4</v>
      </c>
      <c r="Q61" s="4">
        <f>23+16</f>
        <v>39</v>
      </c>
      <c r="R61" s="35">
        <f>8050+6400</f>
        <v>14450</v>
      </c>
      <c r="S61" s="22"/>
    </row>
    <row r="62" spans="1:19" ht="43.5" customHeight="1">
      <c r="A62" s="51">
        <v>59</v>
      </c>
      <c r="B62" s="27" t="s">
        <v>282</v>
      </c>
      <c r="C62" s="4" t="s">
        <v>82</v>
      </c>
      <c r="D62" s="4" t="s">
        <v>21</v>
      </c>
      <c r="E62" s="12" t="s">
        <v>22</v>
      </c>
      <c r="F62" s="4" t="s">
        <v>23</v>
      </c>
      <c r="G62" s="4"/>
      <c r="H62" s="4">
        <v>-81523</v>
      </c>
      <c r="I62" s="6">
        <v>-27210050</v>
      </c>
      <c r="J62" s="57" t="s">
        <v>24</v>
      </c>
      <c r="K62" s="57"/>
      <c r="L62" s="4" t="s">
        <v>23</v>
      </c>
      <c r="M62" s="4" t="s">
        <v>21</v>
      </c>
      <c r="N62" s="40" t="s">
        <v>431</v>
      </c>
      <c r="O62" s="54"/>
      <c r="P62" s="4">
        <v>1416</v>
      </c>
      <c r="Q62" s="4">
        <v>148</v>
      </c>
      <c r="R62" s="35">
        <v>335000</v>
      </c>
      <c r="S62" s="22"/>
    </row>
    <row r="63" spans="1:19" ht="43.5" customHeight="1">
      <c r="A63" s="51">
        <v>60</v>
      </c>
      <c r="B63" s="27" t="s">
        <v>283</v>
      </c>
      <c r="C63" s="4" t="s">
        <v>83</v>
      </c>
      <c r="D63" s="4" t="s">
        <v>21</v>
      </c>
      <c r="E63" s="12" t="s">
        <v>22</v>
      </c>
      <c r="F63" s="4" t="s">
        <v>23</v>
      </c>
      <c r="G63" s="4">
        <v>1304</v>
      </c>
      <c r="H63" s="4">
        <v>-85604</v>
      </c>
      <c r="I63" s="6">
        <v>-28585290</v>
      </c>
      <c r="J63" s="56"/>
      <c r="K63" s="56"/>
      <c r="L63" s="4" t="s">
        <v>23</v>
      </c>
      <c r="M63" s="4" t="s">
        <v>21</v>
      </c>
      <c r="N63" s="40" t="s">
        <v>431</v>
      </c>
      <c r="O63" s="54"/>
      <c r="P63" s="4">
        <v>1</v>
      </c>
      <c r="Q63" s="4">
        <f>129+343+357+342</f>
        <v>1171</v>
      </c>
      <c r="R63" s="35">
        <f>45150+120050+125150+119700</f>
        <v>410050</v>
      </c>
      <c r="S63" s="22"/>
    </row>
    <row r="64" spans="1:19" ht="43.5" customHeight="1">
      <c r="A64" s="51">
        <v>61</v>
      </c>
      <c r="B64" s="27" t="s">
        <v>284</v>
      </c>
      <c r="C64" s="4" t="s">
        <v>84</v>
      </c>
      <c r="D64" s="4" t="s">
        <v>21</v>
      </c>
      <c r="E64" s="12"/>
      <c r="F64" s="4"/>
      <c r="G64" s="4"/>
      <c r="H64" s="4"/>
      <c r="I64" s="6"/>
      <c r="J64" s="56"/>
      <c r="K64" s="56"/>
      <c r="L64" s="4" t="s">
        <v>23</v>
      </c>
      <c r="M64" s="4" t="s">
        <v>21</v>
      </c>
      <c r="N64" s="40" t="s">
        <v>431</v>
      </c>
      <c r="O64" s="54"/>
      <c r="P64" s="4">
        <f>27+108+59+1439+16</f>
        <v>1649</v>
      </c>
      <c r="Q64" s="4">
        <f>2+15</f>
        <v>17</v>
      </c>
      <c r="R64" s="35">
        <f>5400+21600+12500+293050+3200</f>
        <v>335750</v>
      </c>
      <c r="S64" s="22"/>
    </row>
    <row r="65" spans="1:20" ht="43.5" customHeight="1">
      <c r="A65" s="51">
        <v>62</v>
      </c>
      <c r="B65" s="27" t="s">
        <v>285</v>
      </c>
      <c r="C65" s="4" t="s">
        <v>85</v>
      </c>
      <c r="D65" s="4" t="s">
        <v>21</v>
      </c>
      <c r="E65" s="12" t="s">
        <v>22</v>
      </c>
      <c r="F65" s="4" t="s">
        <v>23</v>
      </c>
      <c r="G65" s="4"/>
      <c r="H65" s="4">
        <v>-73361</v>
      </c>
      <c r="I65" s="6">
        <v>-24459570</v>
      </c>
      <c r="J65" s="57" t="s">
        <v>24</v>
      </c>
      <c r="K65" s="57"/>
      <c r="L65" s="4" t="s">
        <v>23</v>
      </c>
      <c r="M65" s="4" t="s">
        <v>21</v>
      </c>
      <c r="N65" s="40" t="s">
        <v>431</v>
      </c>
      <c r="O65" s="54"/>
      <c r="P65" s="4">
        <v>4</v>
      </c>
      <c r="Q65" s="4">
        <f>561+432</f>
        <v>993</v>
      </c>
      <c r="R65" s="35">
        <f>197150+151200</f>
        <v>348350</v>
      </c>
      <c r="S65" s="22"/>
    </row>
    <row r="66" spans="1:20" s="20" customFormat="1" ht="81" customHeight="1">
      <c r="A66" s="51">
        <v>63</v>
      </c>
      <c r="B66" s="27" t="s">
        <v>286</v>
      </c>
      <c r="C66" s="2" t="s">
        <v>86</v>
      </c>
      <c r="D66" s="2" t="s">
        <v>21</v>
      </c>
      <c r="E66" s="5" t="s">
        <v>22</v>
      </c>
      <c r="F66" s="2" t="s">
        <v>23</v>
      </c>
      <c r="G66" s="2"/>
      <c r="H66" s="2">
        <v>-81523</v>
      </c>
      <c r="I66" s="3">
        <v>-27210050</v>
      </c>
      <c r="J66" s="58" t="s">
        <v>24</v>
      </c>
      <c r="K66" s="58"/>
      <c r="L66" s="2" t="s">
        <v>23</v>
      </c>
      <c r="M66" s="2" t="s">
        <v>21</v>
      </c>
      <c r="N66" s="40" t="s">
        <v>431</v>
      </c>
      <c r="O66" s="54"/>
      <c r="P66" s="2">
        <v>1971</v>
      </c>
      <c r="Q66" s="2">
        <v>294</v>
      </c>
      <c r="R66" s="36">
        <v>497100</v>
      </c>
      <c r="S66" s="15"/>
      <c r="T66" s="21"/>
    </row>
    <row r="67" spans="1:20" ht="43.5" customHeight="1">
      <c r="A67" s="51">
        <v>64</v>
      </c>
      <c r="B67" s="27" t="s">
        <v>287</v>
      </c>
      <c r="C67" s="4" t="s">
        <v>87</v>
      </c>
      <c r="D67" s="4" t="s">
        <v>21</v>
      </c>
      <c r="E67" s="12" t="s">
        <v>23</v>
      </c>
      <c r="F67" s="4" t="s">
        <v>23</v>
      </c>
      <c r="G67" s="4">
        <f>6+9</f>
        <v>15</v>
      </c>
      <c r="H67" s="4">
        <f>8+8</f>
        <v>16</v>
      </c>
      <c r="I67" s="6">
        <f>4000+4600</f>
        <v>8600</v>
      </c>
      <c r="J67" s="57" t="s">
        <v>88</v>
      </c>
      <c r="K67" s="57" t="s">
        <v>89</v>
      </c>
      <c r="L67" s="4" t="s">
        <v>23</v>
      </c>
      <c r="M67" s="4" t="s">
        <v>21</v>
      </c>
      <c r="N67" s="40" t="s">
        <v>431</v>
      </c>
      <c r="O67" s="54"/>
      <c r="P67" s="4">
        <f>6+9</f>
        <v>15</v>
      </c>
      <c r="Q67" s="4">
        <f>8+8</f>
        <v>16</v>
      </c>
      <c r="R67" s="35">
        <f>4000+4600</f>
        <v>8600</v>
      </c>
      <c r="S67" s="22"/>
    </row>
    <row r="68" spans="1:20" ht="43.5" customHeight="1">
      <c r="A68" s="51">
        <v>65</v>
      </c>
      <c r="B68" s="27" t="s">
        <v>288</v>
      </c>
      <c r="C68" s="12" t="s">
        <v>90</v>
      </c>
      <c r="D68" s="4"/>
      <c r="E68" s="12"/>
      <c r="F68" s="4"/>
      <c r="G68" s="4"/>
      <c r="H68" s="4"/>
      <c r="I68" s="6"/>
      <c r="J68" s="12"/>
      <c r="K68" s="12"/>
      <c r="L68" s="4"/>
      <c r="M68" s="4" t="s">
        <v>21</v>
      </c>
      <c r="N68" s="40" t="s">
        <v>431</v>
      </c>
      <c r="O68" s="54"/>
      <c r="P68" s="12">
        <v>384</v>
      </c>
      <c r="Q68" s="12">
        <v>1370</v>
      </c>
      <c r="R68" s="37">
        <f t="shared" ref="R68:R86" si="0">P68*200+Q68*350</f>
        <v>556300</v>
      </c>
      <c r="S68" s="12"/>
    </row>
    <row r="69" spans="1:20" ht="43.5" customHeight="1">
      <c r="A69" s="51">
        <v>66</v>
      </c>
      <c r="B69" s="27" t="s">
        <v>289</v>
      </c>
      <c r="C69" s="12" t="s">
        <v>91</v>
      </c>
      <c r="D69" s="4"/>
      <c r="E69" s="12"/>
      <c r="F69" s="4"/>
      <c r="G69" s="4"/>
      <c r="H69" s="4"/>
      <c r="I69" s="6"/>
      <c r="J69" s="12"/>
      <c r="K69" s="12"/>
      <c r="L69" s="4"/>
      <c r="M69" s="4" t="s">
        <v>21</v>
      </c>
      <c r="N69" s="40" t="s">
        <v>431</v>
      </c>
      <c r="O69" s="54"/>
      <c r="P69" s="12">
        <v>5</v>
      </c>
      <c r="Q69" s="12">
        <v>295</v>
      </c>
      <c r="R69" s="37">
        <f t="shared" si="0"/>
        <v>104250</v>
      </c>
      <c r="S69" s="12"/>
    </row>
    <row r="70" spans="1:20" ht="43.5" customHeight="1">
      <c r="A70" s="51">
        <v>67</v>
      </c>
      <c r="B70" s="27" t="s">
        <v>290</v>
      </c>
      <c r="C70" s="12" t="s">
        <v>92</v>
      </c>
      <c r="D70" s="4"/>
      <c r="E70" s="12"/>
      <c r="F70" s="4"/>
      <c r="G70" s="4"/>
      <c r="H70" s="4"/>
      <c r="I70" s="6"/>
      <c r="J70" s="12"/>
      <c r="K70" s="12"/>
      <c r="L70" s="4"/>
      <c r="M70" s="4" t="s">
        <v>21</v>
      </c>
      <c r="N70" s="40" t="s">
        <v>431</v>
      </c>
      <c r="O70" s="54"/>
      <c r="P70" s="12">
        <v>4</v>
      </c>
      <c r="Q70" s="12">
        <v>40</v>
      </c>
      <c r="R70" s="37">
        <f t="shared" si="0"/>
        <v>14800</v>
      </c>
      <c r="S70" s="12"/>
    </row>
    <row r="71" spans="1:20" ht="43.5" customHeight="1">
      <c r="A71" s="51">
        <v>68</v>
      </c>
      <c r="B71" s="27" t="s">
        <v>291</v>
      </c>
      <c r="C71" s="12" t="s">
        <v>93</v>
      </c>
      <c r="D71" s="4"/>
      <c r="E71" s="12"/>
      <c r="F71" s="4"/>
      <c r="G71" s="4"/>
      <c r="H71" s="4"/>
      <c r="I71" s="6"/>
      <c r="J71" s="12"/>
      <c r="K71" s="12"/>
      <c r="L71" s="4"/>
      <c r="M71" s="4" t="s">
        <v>21</v>
      </c>
      <c r="N71" s="40" t="s">
        <v>431</v>
      </c>
      <c r="O71" s="54" t="s">
        <v>432</v>
      </c>
      <c r="P71" s="12">
        <v>0</v>
      </c>
      <c r="Q71" s="12">
        <v>6</v>
      </c>
      <c r="R71" s="37">
        <f t="shared" si="0"/>
        <v>2100</v>
      </c>
      <c r="S71" s="12"/>
    </row>
    <row r="72" spans="1:20" ht="43.5" customHeight="1">
      <c r="A72" s="51">
        <v>69</v>
      </c>
      <c r="B72" s="27" t="s">
        <v>292</v>
      </c>
      <c r="C72" s="12" t="s">
        <v>94</v>
      </c>
      <c r="D72" s="4"/>
      <c r="E72" s="12"/>
      <c r="F72" s="4"/>
      <c r="G72" s="4"/>
      <c r="H72" s="4"/>
      <c r="I72" s="6"/>
      <c r="J72" s="12"/>
      <c r="K72" s="12"/>
      <c r="L72" s="4"/>
      <c r="M72" s="4" t="s">
        <v>21</v>
      </c>
      <c r="N72" s="40" t="s">
        <v>431</v>
      </c>
      <c r="O72" s="54"/>
      <c r="P72" s="12">
        <v>10</v>
      </c>
      <c r="Q72" s="12">
        <v>0</v>
      </c>
      <c r="R72" s="37">
        <f t="shared" si="0"/>
        <v>2000</v>
      </c>
      <c r="S72" s="12"/>
    </row>
    <row r="73" spans="1:20" ht="43.5" customHeight="1">
      <c r="A73" s="51">
        <v>70</v>
      </c>
      <c r="B73" s="27" t="s">
        <v>293</v>
      </c>
      <c r="C73" s="12" t="s">
        <v>95</v>
      </c>
      <c r="D73" s="4"/>
      <c r="E73" s="12"/>
      <c r="F73" s="4"/>
      <c r="G73" s="4"/>
      <c r="H73" s="4"/>
      <c r="I73" s="6"/>
      <c r="J73" s="12"/>
      <c r="K73" s="12"/>
      <c r="L73" s="4"/>
      <c r="M73" s="4" t="s">
        <v>21</v>
      </c>
      <c r="N73" s="40" t="s">
        <v>431</v>
      </c>
      <c r="O73" s="54"/>
      <c r="P73" s="12">
        <v>43</v>
      </c>
      <c r="Q73" s="12">
        <v>184</v>
      </c>
      <c r="R73" s="37">
        <f t="shared" si="0"/>
        <v>73000</v>
      </c>
      <c r="S73" s="12"/>
    </row>
    <row r="74" spans="1:20" ht="43.5" customHeight="1">
      <c r="A74" s="51">
        <v>71</v>
      </c>
      <c r="B74" s="27" t="s">
        <v>295</v>
      </c>
      <c r="C74" s="12" t="s">
        <v>97</v>
      </c>
      <c r="D74" s="4"/>
      <c r="E74" s="12"/>
      <c r="F74" s="4"/>
      <c r="G74" s="4"/>
      <c r="H74" s="4"/>
      <c r="I74" s="6"/>
      <c r="J74" s="12"/>
      <c r="K74" s="12"/>
      <c r="L74" s="4"/>
      <c r="M74" s="4" t="s">
        <v>21</v>
      </c>
      <c r="N74" s="40" t="s">
        <v>431</v>
      </c>
      <c r="O74" s="54"/>
      <c r="P74" s="12">
        <v>0</v>
      </c>
      <c r="Q74" s="12">
        <v>170</v>
      </c>
      <c r="R74" s="37">
        <f t="shared" si="0"/>
        <v>59500</v>
      </c>
      <c r="S74" s="12"/>
    </row>
    <row r="75" spans="1:20" ht="43.5" customHeight="1">
      <c r="A75" s="51">
        <v>72</v>
      </c>
      <c r="B75" s="27" t="s">
        <v>296</v>
      </c>
      <c r="C75" s="12" t="s">
        <v>98</v>
      </c>
      <c r="D75" s="4"/>
      <c r="E75" s="12"/>
      <c r="F75" s="4"/>
      <c r="G75" s="4"/>
      <c r="H75" s="4"/>
      <c r="I75" s="6"/>
      <c r="J75" s="12"/>
      <c r="K75" s="12"/>
      <c r="L75" s="4"/>
      <c r="M75" s="4" t="s">
        <v>21</v>
      </c>
      <c r="N75" s="40" t="s">
        <v>431</v>
      </c>
      <c r="O75" s="54"/>
      <c r="P75" s="12">
        <v>0</v>
      </c>
      <c r="Q75" s="12">
        <v>92</v>
      </c>
      <c r="R75" s="37">
        <f t="shared" si="0"/>
        <v>32200</v>
      </c>
      <c r="S75" s="12"/>
    </row>
    <row r="76" spans="1:20" ht="43.5" customHeight="1">
      <c r="A76" s="51">
        <v>73</v>
      </c>
      <c r="B76" s="27" t="s">
        <v>297</v>
      </c>
      <c r="C76" s="12" t="s">
        <v>99</v>
      </c>
      <c r="D76" s="4"/>
      <c r="E76" s="12"/>
      <c r="F76" s="4"/>
      <c r="G76" s="4"/>
      <c r="H76" s="4"/>
      <c r="I76" s="6"/>
      <c r="J76" s="12"/>
      <c r="K76" s="12"/>
      <c r="L76" s="4"/>
      <c r="M76" s="4" t="s">
        <v>21</v>
      </c>
      <c r="N76" s="40" t="s">
        <v>431</v>
      </c>
      <c r="O76" s="54"/>
      <c r="P76" s="12">
        <v>24</v>
      </c>
      <c r="Q76" s="12">
        <v>11</v>
      </c>
      <c r="R76" s="37">
        <f t="shared" si="0"/>
        <v>8650</v>
      </c>
      <c r="S76" s="12"/>
    </row>
    <row r="77" spans="1:20" ht="43.5" customHeight="1">
      <c r="A77" s="51">
        <v>74</v>
      </c>
      <c r="B77" s="27" t="s">
        <v>298</v>
      </c>
      <c r="C77" s="12" t="s">
        <v>100</v>
      </c>
      <c r="D77" s="4"/>
      <c r="E77" s="12"/>
      <c r="F77" s="4"/>
      <c r="G77" s="4"/>
      <c r="H77" s="4"/>
      <c r="I77" s="6"/>
      <c r="J77" s="12"/>
      <c r="K77" s="12"/>
      <c r="L77" s="4"/>
      <c r="M77" s="4" t="s">
        <v>21</v>
      </c>
      <c r="N77" s="40" t="s">
        <v>431</v>
      </c>
      <c r="O77" s="54"/>
      <c r="P77" s="12">
        <v>0</v>
      </c>
      <c r="Q77" s="12">
        <v>6</v>
      </c>
      <c r="R77" s="37">
        <f t="shared" si="0"/>
        <v>2100</v>
      </c>
      <c r="S77" s="12"/>
    </row>
    <row r="78" spans="1:20" ht="43.5" customHeight="1">
      <c r="A78" s="51">
        <v>75</v>
      </c>
      <c r="B78" s="27" t="s">
        <v>299</v>
      </c>
      <c r="C78" s="12" t="s">
        <v>101</v>
      </c>
      <c r="D78" s="4"/>
      <c r="E78" s="12"/>
      <c r="F78" s="4"/>
      <c r="G78" s="4"/>
      <c r="H78" s="4"/>
      <c r="I78" s="6"/>
      <c r="J78" s="12"/>
      <c r="K78" s="12"/>
      <c r="L78" s="4"/>
      <c r="M78" s="4" t="s">
        <v>21</v>
      </c>
      <c r="N78" s="40" t="s">
        <v>431</v>
      </c>
      <c r="O78" s="54"/>
      <c r="P78" s="12">
        <v>640</v>
      </c>
      <c r="Q78" s="12">
        <v>5</v>
      </c>
      <c r="R78" s="37">
        <f t="shared" si="0"/>
        <v>129750</v>
      </c>
      <c r="S78" s="12"/>
    </row>
    <row r="79" spans="1:20" ht="43.5" customHeight="1">
      <c r="A79" s="51">
        <v>76</v>
      </c>
      <c r="B79" s="27" t="s">
        <v>300</v>
      </c>
      <c r="C79" s="12" t="s">
        <v>102</v>
      </c>
      <c r="D79" s="4"/>
      <c r="E79" s="12"/>
      <c r="F79" s="4"/>
      <c r="G79" s="4"/>
      <c r="H79" s="4"/>
      <c r="I79" s="6"/>
      <c r="J79" s="12"/>
      <c r="K79" s="12"/>
      <c r="L79" s="4"/>
      <c r="M79" s="4" t="s">
        <v>21</v>
      </c>
      <c r="N79" s="40" t="s">
        <v>431</v>
      </c>
      <c r="O79" s="54"/>
      <c r="P79" s="12">
        <f>116+60</f>
        <v>176</v>
      </c>
      <c r="Q79" s="12">
        <f>0+21</f>
        <v>21</v>
      </c>
      <c r="R79" s="37">
        <f t="shared" si="0"/>
        <v>42550</v>
      </c>
      <c r="S79" s="12"/>
    </row>
    <row r="80" spans="1:20" ht="43.5" customHeight="1">
      <c r="A80" s="51">
        <v>77</v>
      </c>
      <c r="B80" s="27" t="s">
        <v>301</v>
      </c>
      <c r="C80" s="12" t="s">
        <v>103</v>
      </c>
      <c r="D80" s="4"/>
      <c r="E80" s="12"/>
      <c r="F80" s="4"/>
      <c r="G80" s="4"/>
      <c r="H80" s="4"/>
      <c r="I80" s="6"/>
      <c r="J80" s="12"/>
      <c r="K80" s="12"/>
      <c r="L80" s="4"/>
      <c r="M80" s="4" t="s">
        <v>21</v>
      </c>
      <c r="N80" s="40" t="s">
        <v>431</v>
      </c>
      <c r="O80" s="54"/>
      <c r="P80" s="12">
        <v>0</v>
      </c>
      <c r="Q80" s="12">
        <v>1240</v>
      </c>
      <c r="R80" s="37">
        <f t="shared" si="0"/>
        <v>434000</v>
      </c>
      <c r="S80" s="12"/>
    </row>
    <row r="81" spans="1:19" ht="43.5" customHeight="1">
      <c r="A81" s="51">
        <v>78</v>
      </c>
      <c r="B81" s="27" t="s">
        <v>302</v>
      </c>
      <c r="C81" s="12" t="s">
        <v>104</v>
      </c>
      <c r="D81" s="4"/>
      <c r="E81" s="12"/>
      <c r="F81" s="4"/>
      <c r="G81" s="4"/>
      <c r="H81" s="4"/>
      <c r="I81" s="6"/>
      <c r="J81" s="12"/>
      <c r="K81" s="12"/>
      <c r="L81" s="4"/>
      <c r="M81" s="4" t="s">
        <v>21</v>
      </c>
      <c r="N81" s="40" t="s">
        <v>431</v>
      </c>
      <c r="O81" s="54"/>
      <c r="P81" s="12">
        <v>10</v>
      </c>
      <c r="Q81" s="12">
        <v>153</v>
      </c>
      <c r="R81" s="37">
        <f t="shared" si="0"/>
        <v>55550</v>
      </c>
      <c r="S81" s="12"/>
    </row>
    <row r="82" spans="1:19" ht="43.5" customHeight="1">
      <c r="A82" s="51">
        <v>79</v>
      </c>
      <c r="B82" s="27" t="s">
        <v>303</v>
      </c>
      <c r="C82" s="12" t="s">
        <v>105</v>
      </c>
      <c r="D82" s="4"/>
      <c r="E82" s="12"/>
      <c r="F82" s="4"/>
      <c r="G82" s="4"/>
      <c r="H82" s="4"/>
      <c r="I82" s="6"/>
      <c r="J82" s="12"/>
      <c r="K82" s="12"/>
      <c r="L82" s="4"/>
      <c r="M82" s="4" t="s">
        <v>21</v>
      </c>
      <c r="N82" s="40" t="s">
        <v>431</v>
      </c>
      <c r="O82" s="54"/>
      <c r="P82" s="12">
        <f>128+63</f>
        <v>191</v>
      </c>
      <c r="Q82" s="12">
        <v>0</v>
      </c>
      <c r="R82" s="37">
        <f t="shared" si="0"/>
        <v>38200</v>
      </c>
      <c r="S82" s="12"/>
    </row>
    <row r="83" spans="1:19" ht="43.5" customHeight="1">
      <c r="A83" s="51">
        <v>80</v>
      </c>
      <c r="B83" s="27" t="s">
        <v>304</v>
      </c>
      <c r="C83" s="12" t="s">
        <v>106</v>
      </c>
      <c r="D83" s="4"/>
      <c r="E83" s="12"/>
      <c r="F83" s="4"/>
      <c r="G83" s="4"/>
      <c r="H83" s="4"/>
      <c r="I83" s="6"/>
      <c r="J83" s="12"/>
      <c r="K83" s="12"/>
      <c r="L83" s="4"/>
      <c r="M83" s="4" t="s">
        <v>21</v>
      </c>
      <c r="N83" s="40" t="s">
        <v>431</v>
      </c>
      <c r="O83" s="54"/>
      <c r="P83" s="12">
        <v>29</v>
      </c>
      <c r="Q83" s="12">
        <v>157</v>
      </c>
      <c r="R83" s="37">
        <f t="shared" si="0"/>
        <v>60750</v>
      </c>
      <c r="S83" s="12"/>
    </row>
    <row r="84" spans="1:19" ht="43.5" customHeight="1">
      <c r="A84" s="51">
        <v>81</v>
      </c>
      <c r="B84" s="27" t="s">
        <v>305</v>
      </c>
      <c r="C84" s="12" t="s">
        <v>107</v>
      </c>
      <c r="D84" s="4"/>
      <c r="E84" s="12"/>
      <c r="F84" s="4"/>
      <c r="G84" s="4"/>
      <c r="H84" s="4"/>
      <c r="I84" s="6"/>
      <c r="J84" s="12"/>
      <c r="K84" s="12"/>
      <c r="L84" s="4"/>
      <c r="M84" s="4" t="s">
        <v>21</v>
      </c>
      <c r="N84" s="40" t="s">
        <v>431</v>
      </c>
      <c r="O84" s="54"/>
      <c r="P84" s="12">
        <v>3</v>
      </c>
      <c r="Q84" s="12">
        <v>16</v>
      </c>
      <c r="R84" s="37">
        <f t="shared" si="0"/>
        <v>6200</v>
      </c>
      <c r="S84" s="12"/>
    </row>
    <row r="85" spans="1:19" ht="43.5" customHeight="1">
      <c r="A85" s="51">
        <v>82</v>
      </c>
      <c r="B85" s="27" t="s">
        <v>306</v>
      </c>
      <c r="C85" s="12" t="s">
        <v>108</v>
      </c>
      <c r="D85" s="4"/>
      <c r="E85" s="12"/>
      <c r="F85" s="4"/>
      <c r="G85" s="4"/>
      <c r="H85" s="4"/>
      <c r="I85" s="6"/>
      <c r="J85" s="12"/>
      <c r="K85" s="12"/>
      <c r="L85" s="4"/>
      <c r="M85" s="4" t="s">
        <v>21</v>
      </c>
      <c r="N85" s="40" t="s">
        <v>431</v>
      </c>
      <c r="O85" s="54"/>
      <c r="P85" s="12">
        <v>42</v>
      </c>
      <c r="Q85" s="12">
        <v>81</v>
      </c>
      <c r="R85" s="37">
        <f t="shared" si="0"/>
        <v>36750</v>
      </c>
      <c r="S85" s="12"/>
    </row>
    <row r="86" spans="1:19" ht="43.5" customHeight="1">
      <c r="A86" s="51">
        <v>83</v>
      </c>
      <c r="B86" s="27" t="s">
        <v>307</v>
      </c>
      <c r="C86" s="12" t="s">
        <v>109</v>
      </c>
      <c r="D86" s="4"/>
      <c r="E86" s="12"/>
      <c r="F86" s="4"/>
      <c r="G86" s="4"/>
      <c r="H86" s="4"/>
      <c r="I86" s="6"/>
      <c r="J86" s="12"/>
      <c r="K86" s="12"/>
      <c r="L86" s="4"/>
      <c r="M86" s="4" t="s">
        <v>21</v>
      </c>
      <c r="N86" s="40" t="s">
        <v>431</v>
      </c>
      <c r="O86" s="54"/>
      <c r="P86" s="12">
        <v>10</v>
      </c>
      <c r="Q86" s="12">
        <f>5840+371</f>
        <v>6211</v>
      </c>
      <c r="R86" s="37">
        <f t="shared" si="0"/>
        <v>2175850</v>
      </c>
      <c r="S86" s="12"/>
    </row>
    <row r="87" spans="1:19" ht="43.5" customHeight="1">
      <c r="A87" s="51">
        <v>84</v>
      </c>
      <c r="B87" s="27" t="s">
        <v>308</v>
      </c>
      <c r="C87" s="12" t="s">
        <v>110</v>
      </c>
      <c r="D87" s="4"/>
      <c r="E87" s="12"/>
      <c r="F87" s="4"/>
      <c r="G87" s="4"/>
      <c r="H87" s="4"/>
      <c r="I87" s="6"/>
      <c r="J87" s="12"/>
      <c r="K87" s="12"/>
      <c r="L87" s="4"/>
      <c r="M87" s="4" t="s">
        <v>21</v>
      </c>
      <c r="N87" s="40" t="s">
        <v>431</v>
      </c>
      <c r="O87" s="54" t="s">
        <v>426</v>
      </c>
      <c r="P87" s="12">
        <v>78</v>
      </c>
      <c r="Q87" s="12">
        <v>65</v>
      </c>
      <c r="R87" s="37">
        <f t="shared" ref="R87:R122" si="1">P87*200+Q87*350</f>
        <v>38350</v>
      </c>
      <c r="S87" s="12"/>
    </row>
    <row r="88" spans="1:19" ht="43.5" customHeight="1">
      <c r="A88" s="51">
        <v>85</v>
      </c>
      <c r="B88" s="27" t="s">
        <v>309</v>
      </c>
      <c r="C88" s="12" t="s">
        <v>111</v>
      </c>
      <c r="D88" s="4"/>
      <c r="E88" s="12"/>
      <c r="F88" s="4"/>
      <c r="G88" s="4"/>
      <c r="H88" s="4"/>
      <c r="I88" s="6"/>
      <c r="J88" s="12"/>
      <c r="K88" s="12"/>
      <c r="L88" s="4"/>
      <c r="M88" s="4" t="s">
        <v>21</v>
      </c>
      <c r="N88" s="40" t="s">
        <v>431</v>
      </c>
      <c r="O88" s="54"/>
      <c r="P88" s="12">
        <v>6</v>
      </c>
      <c r="Q88" s="12">
        <v>14</v>
      </c>
      <c r="R88" s="37">
        <f t="shared" si="1"/>
        <v>6100</v>
      </c>
      <c r="S88" s="12"/>
    </row>
    <row r="89" spans="1:19" ht="43.5" customHeight="1">
      <c r="A89" s="51">
        <v>86</v>
      </c>
      <c r="B89" s="27" t="s">
        <v>310</v>
      </c>
      <c r="C89" s="12" t="s">
        <v>112</v>
      </c>
      <c r="D89" s="4"/>
      <c r="E89" s="12"/>
      <c r="F89" s="4"/>
      <c r="G89" s="4"/>
      <c r="H89" s="4"/>
      <c r="I89" s="6"/>
      <c r="J89" s="12"/>
      <c r="K89" s="12"/>
      <c r="L89" s="4"/>
      <c r="M89" s="4" t="s">
        <v>21</v>
      </c>
      <c r="N89" s="40" t="s">
        <v>431</v>
      </c>
      <c r="O89" s="54"/>
      <c r="P89" s="12">
        <v>43</v>
      </c>
      <c r="Q89" s="12">
        <v>0</v>
      </c>
      <c r="R89" s="37">
        <f t="shared" si="1"/>
        <v>8600</v>
      </c>
      <c r="S89" s="12"/>
    </row>
    <row r="90" spans="1:19" ht="43.5" customHeight="1">
      <c r="A90" s="51">
        <v>87</v>
      </c>
      <c r="B90" s="27" t="s">
        <v>311</v>
      </c>
      <c r="C90" s="12" t="s">
        <v>113</v>
      </c>
      <c r="D90" s="4"/>
      <c r="E90" s="12"/>
      <c r="F90" s="4"/>
      <c r="G90" s="4"/>
      <c r="H90" s="4"/>
      <c r="I90" s="6"/>
      <c r="J90" s="12"/>
      <c r="K90" s="12"/>
      <c r="L90" s="4"/>
      <c r="M90" s="4" t="s">
        <v>21</v>
      </c>
      <c r="N90" s="40" t="s">
        <v>431</v>
      </c>
      <c r="O90" s="54"/>
      <c r="P90" s="12">
        <v>4</v>
      </c>
      <c r="Q90" s="12">
        <v>4</v>
      </c>
      <c r="R90" s="37">
        <f t="shared" si="1"/>
        <v>2200</v>
      </c>
      <c r="S90" s="12"/>
    </row>
    <row r="91" spans="1:19" ht="43.5" customHeight="1">
      <c r="A91" s="51">
        <v>88</v>
      </c>
      <c r="B91" s="27" t="s">
        <v>312</v>
      </c>
      <c r="C91" s="23" t="s">
        <v>114</v>
      </c>
      <c r="D91" s="4"/>
      <c r="E91" s="12"/>
      <c r="F91" s="4"/>
      <c r="G91" s="4"/>
      <c r="H91" s="4"/>
      <c r="I91" s="6"/>
      <c r="J91" s="12"/>
      <c r="K91" s="12"/>
      <c r="L91" s="4"/>
      <c r="M91" s="4" t="s">
        <v>21</v>
      </c>
      <c r="N91" s="40" t="s">
        <v>431</v>
      </c>
      <c r="O91" s="54"/>
      <c r="P91" s="12">
        <f>0+1+2</f>
        <v>3</v>
      </c>
      <c r="Q91" s="12">
        <f>27+48+46+39+51+30</f>
        <v>241</v>
      </c>
      <c r="R91" s="37">
        <f t="shared" si="1"/>
        <v>84950</v>
      </c>
      <c r="S91" s="12"/>
    </row>
    <row r="92" spans="1:19" ht="43.5" customHeight="1">
      <c r="A92" s="51">
        <v>89</v>
      </c>
      <c r="B92" s="27" t="s">
        <v>313</v>
      </c>
      <c r="C92" s="12" t="s">
        <v>115</v>
      </c>
      <c r="D92" s="4"/>
      <c r="E92" s="12"/>
      <c r="F92" s="4"/>
      <c r="G92" s="4"/>
      <c r="H92" s="4"/>
      <c r="I92" s="6"/>
      <c r="J92" s="12"/>
      <c r="K92" s="12"/>
      <c r="L92" s="4"/>
      <c r="M92" s="4" t="s">
        <v>21</v>
      </c>
      <c r="N92" s="40" t="s">
        <v>431</v>
      </c>
      <c r="O92" s="54"/>
      <c r="P92" s="12">
        <v>114</v>
      </c>
      <c r="Q92" s="12">
        <v>60</v>
      </c>
      <c r="R92" s="37">
        <f t="shared" si="1"/>
        <v>43800</v>
      </c>
      <c r="S92" s="12"/>
    </row>
    <row r="93" spans="1:19" ht="43.5" customHeight="1">
      <c r="A93" s="51">
        <v>90</v>
      </c>
      <c r="B93" s="27" t="s">
        <v>314</v>
      </c>
      <c r="C93" s="12" t="s">
        <v>116</v>
      </c>
      <c r="D93" s="4"/>
      <c r="E93" s="12"/>
      <c r="F93" s="4"/>
      <c r="G93" s="4"/>
      <c r="H93" s="4"/>
      <c r="I93" s="6"/>
      <c r="J93" s="12"/>
      <c r="K93" s="12"/>
      <c r="L93" s="4"/>
      <c r="M93" s="4" t="s">
        <v>21</v>
      </c>
      <c r="N93" s="40" t="s">
        <v>431</v>
      </c>
      <c r="O93" s="54"/>
      <c r="P93" s="12">
        <f>18+12+11+17+13</f>
        <v>71</v>
      </c>
      <c r="Q93" s="12">
        <f>3+17+1+8</f>
        <v>29</v>
      </c>
      <c r="R93" s="37">
        <f t="shared" si="1"/>
        <v>24350</v>
      </c>
      <c r="S93" s="12"/>
    </row>
    <row r="94" spans="1:19" ht="43.5" customHeight="1">
      <c r="A94" s="51">
        <v>91</v>
      </c>
      <c r="B94" s="27" t="s">
        <v>315</v>
      </c>
      <c r="C94" s="23" t="s">
        <v>117</v>
      </c>
      <c r="D94" s="4"/>
      <c r="E94" s="12"/>
      <c r="F94" s="4"/>
      <c r="G94" s="4"/>
      <c r="H94" s="4"/>
      <c r="I94" s="6"/>
      <c r="J94" s="12"/>
      <c r="K94" s="12"/>
      <c r="L94" s="4"/>
      <c r="M94" s="4" t="s">
        <v>21</v>
      </c>
      <c r="N94" s="40" t="s">
        <v>431</v>
      </c>
      <c r="O94" s="54"/>
      <c r="P94" s="12">
        <f>12+13</f>
        <v>25</v>
      </c>
      <c r="Q94" s="12">
        <v>0</v>
      </c>
      <c r="R94" s="37">
        <f t="shared" si="1"/>
        <v>5000</v>
      </c>
      <c r="S94" s="12"/>
    </row>
    <row r="95" spans="1:19" ht="43.5" customHeight="1">
      <c r="A95" s="51">
        <v>92</v>
      </c>
      <c r="B95" s="27" t="s">
        <v>316</v>
      </c>
      <c r="C95" s="23" t="s">
        <v>118</v>
      </c>
      <c r="D95" s="4"/>
      <c r="E95" s="12"/>
      <c r="F95" s="4"/>
      <c r="G95" s="4"/>
      <c r="H95" s="4"/>
      <c r="I95" s="6"/>
      <c r="J95" s="12"/>
      <c r="K95" s="12"/>
      <c r="L95" s="4"/>
      <c r="M95" s="4" t="s">
        <v>21</v>
      </c>
      <c r="N95" s="40" t="s">
        <v>431</v>
      </c>
      <c r="O95" s="54"/>
      <c r="P95" s="12">
        <v>0</v>
      </c>
      <c r="Q95" s="12">
        <v>387</v>
      </c>
      <c r="R95" s="37">
        <f t="shared" si="1"/>
        <v>135450</v>
      </c>
      <c r="S95" s="12"/>
    </row>
    <row r="96" spans="1:19" ht="43.5" customHeight="1">
      <c r="A96" s="51">
        <v>93</v>
      </c>
      <c r="B96" s="27" t="s">
        <v>317</v>
      </c>
      <c r="C96" s="12" t="s">
        <v>119</v>
      </c>
      <c r="D96" s="4"/>
      <c r="E96" s="12"/>
      <c r="F96" s="4"/>
      <c r="G96" s="4"/>
      <c r="H96" s="4"/>
      <c r="I96" s="6"/>
      <c r="J96" s="12"/>
      <c r="K96" s="12"/>
      <c r="L96" s="4"/>
      <c r="M96" s="4" t="s">
        <v>21</v>
      </c>
      <c r="N96" s="40" t="s">
        <v>431</v>
      </c>
      <c r="O96" s="54"/>
      <c r="P96" s="12">
        <v>4</v>
      </c>
      <c r="Q96" s="12">
        <v>95</v>
      </c>
      <c r="R96" s="37">
        <f t="shared" si="1"/>
        <v>34050</v>
      </c>
      <c r="S96" s="12"/>
    </row>
    <row r="97" spans="1:20" ht="43.5" customHeight="1">
      <c r="A97" s="51">
        <v>94</v>
      </c>
      <c r="B97" s="27" t="s">
        <v>318</v>
      </c>
      <c r="C97" s="12" t="s">
        <v>120</v>
      </c>
      <c r="D97" s="4"/>
      <c r="E97" s="12"/>
      <c r="F97" s="4"/>
      <c r="G97" s="4"/>
      <c r="H97" s="4"/>
      <c r="I97" s="6"/>
      <c r="J97" s="12"/>
      <c r="K97" s="12"/>
      <c r="L97" s="4"/>
      <c r="M97" s="4" t="s">
        <v>21</v>
      </c>
      <c r="N97" s="40" t="s">
        <v>431</v>
      </c>
      <c r="O97" s="54"/>
      <c r="P97" s="12">
        <v>207</v>
      </c>
      <c r="Q97" s="12">
        <v>1</v>
      </c>
      <c r="R97" s="37">
        <f t="shared" si="1"/>
        <v>41750</v>
      </c>
      <c r="S97" s="12"/>
    </row>
    <row r="98" spans="1:20" ht="43.5" customHeight="1">
      <c r="A98" s="51">
        <v>95</v>
      </c>
      <c r="B98" s="27" t="s">
        <v>319</v>
      </c>
      <c r="C98" s="12" t="s">
        <v>121</v>
      </c>
      <c r="D98" s="4"/>
      <c r="E98" s="12"/>
      <c r="F98" s="4"/>
      <c r="G98" s="4"/>
      <c r="H98" s="4"/>
      <c r="I98" s="6"/>
      <c r="J98" s="12"/>
      <c r="K98" s="12"/>
      <c r="L98" s="4"/>
      <c r="M98" s="4" t="s">
        <v>21</v>
      </c>
      <c r="N98" s="40" t="s">
        <v>431</v>
      </c>
      <c r="O98" s="54"/>
      <c r="P98" s="12">
        <f>1545+100+432+540</f>
        <v>2617</v>
      </c>
      <c r="Q98" s="12">
        <f>2+5</f>
        <v>7</v>
      </c>
      <c r="R98" s="37">
        <f t="shared" si="1"/>
        <v>525850</v>
      </c>
      <c r="S98" s="12"/>
    </row>
    <row r="99" spans="1:20" ht="43.5" customHeight="1">
      <c r="A99" s="51">
        <v>96</v>
      </c>
      <c r="B99" s="27" t="s">
        <v>320</v>
      </c>
      <c r="C99" s="12" t="s">
        <v>122</v>
      </c>
      <c r="D99" s="4"/>
      <c r="E99" s="12"/>
      <c r="F99" s="4"/>
      <c r="G99" s="4"/>
      <c r="H99" s="4"/>
      <c r="I99" s="6"/>
      <c r="J99" s="12"/>
      <c r="K99" s="12"/>
      <c r="L99" s="4"/>
      <c r="M99" s="4" t="s">
        <v>21</v>
      </c>
      <c r="N99" s="40" t="s">
        <v>431</v>
      </c>
      <c r="O99" s="54"/>
      <c r="P99" s="12">
        <v>40</v>
      </c>
      <c r="Q99" s="12">
        <v>198</v>
      </c>
      <c r="R99" s="37">
        <f t="shared" si="1"/>
        <v>77300</v>
      </c>
      <c r="S99" s="12"/>
    </row>
    <row r="100" spans="1:20" ht="86.1" customHeight="1">
      <c r="A100" s="51">
        <v>97</v>
      </c>
      <c r="B100" s="27" t="s">
        <v>321</v>
      </c>
      <c r="C100" s="5" t="s">
        <v>123</v>
      </c>
      <c r="D100" s="2"/>
      <c r="E100" s="5"/>
      <c r="F100" s="2"/>
      <c r="G100" s="2"/>
      <c r="H100" s="2"/>
      <c r="I100" s="3"/>
      <c r="J100" s="5"/>
      <c r="K100" s="5"/>
      <c r="L100" s="2"/>
      <c r="M100" s="2" t="s">
        <v>21</v>
      </c>
      <c r="N100" s="40" t="s">
        <v>431</v>
      </c>
      <c r="O100" s="54"/>
      <c r="P100" s="5">
        <f>195+11</f>
        <v>206</v>
      </c>
      <c r="Q100" s="5">
        <v>32</v>
      </c>
      <c r="R100" s="38">
        <f t="shared" si="1"/>
        <v>52400</v>
      </c>
      <c r="S100" s="5"/>
      <c r="T100" s="21"/>
    </row>
    <row r="101" spans="1:20" ht="54.95" customHeight="1">
      <c r="A101" s="51">
        <v>98</v>
      </c>
      <c r="B101" s="27" t="s">
        <v>322</v>
      </c>
      <c r="C101" s="12" t="s">
        <v>124</v>
      </c>
      <c r="D101" s="4"/>
      <c r="E101" s="12"/>
      <c r="F101" s="4"/>
      <c r="G101" s="4"/>
      <c r="H101" s="4"/>
      <c r="I101" s="6"/>
      <c r="J101" s="12"/>
      <c r="K101" s="12"/>
      <c r="L101" s="4"/>
      <c r="M101" s="4" t="s">
        <v>21</v>
      </c>
      <c r="N101" s="40" t="s">
        <v>431</v>
      </c>
      <c r="O101" s="54"/>
      <c r="P101" s="12">
        <f>9+8+6</f>
        <v>23</v>
      </c>
      <c r="Q101" s="12">
        <f>122+126+96</f>
        <v>344</v>
      </c>
      <c r="R101" s="37">
        <f t="shared" si="1"/>
        <v>125000</v>
      </c>
      <c r="S101" s="12"/>
    </row>
    <row r="102" spans="1:20" ht="54.95" customHeight="1">
      <c r="A102" s="51">
        <v>99</v>
      </c>
      <c r="B102" s="27" t="s">
        <v>323</v>
      </c>
      <c r="C102" s="12" t="s">
        <v>125</v>
      </c>
      <c r="D102" s="4"/>
      <c r="E102" s="12"/>
      <c r="F102" s="4"/>
      <c r="G102" s="4"/>
      <c r="H102" s="4"/>
      <c r="I102" s="6"/>
      <c r="J102" s="12"/>
      <c r="K102" s="12"/>
      <c r="L102" s="4"/>
      <c r="M102" s="4" t="s">
        <v>21</v>
      </c>
      <c r="N102" s="40" t="s">
        <v>431</v>
      </c>
      <c r="O102" s="54" t="s">
        <v>432</v>
      </c>
      <c r="P102" s="12">
        <v>20</v>
      </c>
      <c r="Q102" s="12">
        <v>25</v>
      </c>
      <c r="R102" s="37">
        <f t="shared" si="1"/>
        <v>12750</v>
      </c>
      <c r="S102" s="12"/>
    </row>
    <row r="103" spans="1:20" ht="54.95" customHeight="1">
      <c r="A103" s="51">
        <v>100</v>
      </c>
      <c r="B103" s="27" t="s">
        <v>324</v>
      </c>
      <c r="C103" s="12" t="s">
        <v>126</v>
      </c>
      <c r="D103" s="4"/>
      <c r="E103" s="12"/>
      <c r="F103" s="4"/>
      <c r="G103" s="4"/>
      <c r="H103" s="4"/>
      <c r="I103" s="6"/>
      <c r="J103" s="12"/>
      <c r="K103" s="12"/>
      <c r="L103" s="4"/>
      <c r="M103" s="4" t="s">
        <v>21</v>
      </c>
      <c r="N103" s="40" t="s">
        <v>431</v>
      </c>
      <c r="O103" s="54"/>
      <c r="P103" s="12">
        <v>0</v>
      </c>
      <c r="Q103" s="12">
        <v>51</v>
      </c>
      <c r="R103" s="37">
        <f t="shared" si="1"/>
        <v>17850</v>
      </c>
      <c r="S103" s="12"/>
    </row>
    <row r="104" spans="1:20" ht="54.95" customHeight="1">
      <c r="A104" s="51">
        <v>101</v>
      </c>
      <c r="B104" s="27" t="s">
        <v>325</v>
      </c>
      <c r="C104" s="12" t="s">
        <v>127</v>
      </c>
      <c r="D104" s="4"/>
      <c r="E104" s="12"/>
      <c r="F104" s="4"/>
      <c r="G104" s="4"/>
      <c r="H104" s="4"/>
      <c r="I104" s="6"/>
      <c r="J104" s="12"/>
      <c r="K104" s="12"/>
      <c r="L104" s="4"/>
      <c r="M104" s="4" t="s">
        <v>21</v>
      </c>
      <c r="N104" s="40" t="s">
        <v>431</v>
      </c>
      <c r="O104" s="54"/>
      <c r="P104" s="12">
        <f>28+54+60+55</f>
        <v>197</v>
      </c>
      <c r="Q104" s="12">
        <f>0</f>
        <v>0</v>
      </c>
      <c r="R104" s="37">
        <f t="shared" si="1"/>
        <v>39400</v>
      </c>
      <c r="S104" s="12"/>
    </row>
    <row r="105" spans="1:20" ht="54.95" customHeight="1">
      <c r="A105" s="51">
        <v>102</v>
      </c>
      <c r="B105" s="27" t="s">
        <v>326</v>
      </c>
      <c r="C105" s="12" t="s">
        <v>128</v>
      </c>
      <c r="D105" s="4"/>
      <c r="E105" s="12"/>
      <c r="F105" s="4"/>
      <c r="G105" s="4"/>
      <c r="H105" s="4"/>
      <c r="I105" s="6"/>
      <c r="J105" s="12"/>
      <c r="K105" s="12"/>
      <c r="L105" s="4"/>
      <c r="M105" s="4" t="s">
        <v>21</v>
      </c>
      <c r="N105" s="40" t="s">
        <v>431</v>
      </c>
      <c r="O105" s="54"/>
      <c r="P105" s="12">
        <v>71</v>
      </c>
      <c r="Q105" s="12">
        <v>37</v>
      </c>
      <c r="R105" s="37">
        <f t="shared" si="1"/>
        <v>27150</v>
      </c>
      <c r="S105" s="12"/>
    </row>
    <row r="106" spans="1:20" ht="54.95" customHeight="1">
      <c r="A106" s="51">
        <v>103</v>
      </c>
      <c r="B106" s="27" t="s">
        <v>327</v>
      </c>
      <c r="C106" s="12" t="s">
        <v>129</v>
      </c>
      <c r="D106" s="4"/>
      <c r="E106" s="12"/>
      <c r="F106" s="4"/>
      <c r="G106" s="4"/>
      <c r="H106" s="4"/>
      <c r="I106" s="6"/>
      <c r="J106" s="12"/>
      <c r="K106" s="12"/>
      <c r="L106" s="4"/>
      <c r="M106" s="4" t="s">
        <v>21</v>
      </c>
      <c r="N106" s="40" t="s">
        <v>431</v>
      </c>
      <c r="O106" s="54"/>
      <c r="P106" s="12">
        <v>0</v>
      </c>
      <c r="Q106" s="12">
        <v>20</v>
      </c>
      <c r="R106" s="37">
        <f t="shared" si="1"/>
        <v>7000</v>
      </c>
      <c r="S106" s="12"/>
    </row>
    <row r="107" spans="1:20" ht="54.95" customHeight="1">
      <c r="A107" s="51">
        <v>104</v>
      </c>
      <c r="B107" s="27" t="s">
        <v>328</v>
      </c>
      <c r="C107" s="12" t="s">
        <v>130</v>
      </c>
      <c r="D107" s="4"/>
      <c r="E107" s="12"/>
      <c r="F107" s="4"/>
      <c r="G107" s="4"/>
      <c r="H107" s="4"/>
      <c r="I107" s="6"/>
      <c r="J107" s="12"/>
      <c r="K107" s="12"/>
      <c r="L107" s="4"/>
      <c r="M107" s="4" t="s">
        <v>21</v>
      </c>
      <c r="N107" s="40" t="s">
        <v>431</v>
      </c>
      <c r="O107" s="54"/>
      <c r="P107" s="12">
        <v>287</v>
      </c>
      <c r="Q107" s="12">
        <v>0</v>
      </c>
      <c r="R107" s="37">
        <f t="shared" si="1"/>
        <v>57400</v>
      </c>
      <c r="S107" s="12"/>
    </row>
    <row r="108" spans="1:20" ht="54.95" customHeight="1">
      <c r="A108" s="51">
        <v>105</v>
      </c>
      <c r="B108" s="27" t="s">
        <v>329</v>
      </c>
      <c r="C108" s="12" t="s">
        <v>131</v>
      </c>
      <c r="D108" s="4"/>
      <c r="E108" s="12"/>
      <c r="F108" s="4"/>
      <c r="G108" s="4"/>
      <c r="H108" s="4"/>
      <c r="I108" s="6"/>
      <c r="J108" s="12"/>
      <c r="K108" s="12"/>
      <c r="L108" s="4"/>
      <c r="M108" s="4" t="s">
        <v>21</v>
      </c>
      <c r="N108" s="40" t="s">
        <v>431</v>
      </c>
      <c r="O108" s="54"/>
      <c r="P108" s="12">
        <f>2+2+1+2+2</f>
        <v>9</v>
      </c>
      <c r="Q108" s="12">
        <f>53+31+82+46+77</f>
        <v>289</v>
      </c>
      <c r="R108" s="37">
        <f t="shared" si="1"/>
        <v>102950</v>
      </c>
      <c r="S108" s="12"/>
    </row>
    <row r="109" spans="1:20" ht="54.95" customHeight="1">
      <c r="A109" s="51">
        <v>106</v>
      </c>
      <c r="B109" s="27" t="s">
        <v>330</v>
      </c>
      <c r="C109" s="12" t="s">
        <v>132</v>
      </c>
      <c r="D109" s="4"/>
      <c r="E109" s="12"/>
      <c r="F109" s="4"/>
      <c r="G109" s="4"/>
      <c r="H109" s="4"/>
      <c r="I109" s="6"/>
      <c r="J109" s="12"/>
      <c r="K109" s="12"/>
      <c r="L109" s="4"/>
      <c r="M109" s="4" t="s">
        <v>21</v>
      </c>
      <c r="N109" s="40" t="s">
        <v>431</v>
      </c>
      <c r="O109" s="54"/>
      <c r="P109" s="12">
        <v>293</v>
      </c>
      <c r="Q109" s="12">
        <v>215</v>
      </c>
      <c r="R109" s="37">
        <f t="shared" si="1"/>
        <v>133850</v>
      </c>
      <c r="S109" s="12"/>
    </row>
    <row r="110" spans="1:20" ht="54.95" customHeight="1">
      <c r="A110" s="51">
        <v>107</v>
      </c>
      <c r="B110" s="27" t="s">
        <v>331</v>
      </c>
      <c r="C110" s="12" t="s">
        <v>133</v>
      </c>
      <c r="D110" s="4"/>
      <c r="E110" s="12"/>
      <c r="F110" s="4"/>
      <c r="G110" s="4"/>
      <c r="H110" s="4"/>
      <c r="I110" s="6"/>
      <c r="J110" s="12"/>
      <c r="K110" s="12"/>
      <c r="L110" s="4"/>
      <c r="M110" s="4" t="s">
        <v>21</v>
      </c>
      <c r="N110" s="40" t="s">
        <v>431</v>
      </c>
      <c r="O110" s="54"/>
      <c r="P110" s="12">
        <f>0+6+8+5+13</f>
        <v>32</v>
      </c>
      <c r="Q110" s="12">
        <f>8+18+18+23+14</f>
        <v>81</v>
      </c>
      <c r="R110" s="37">
        <f t="shared" si="1"/>
        <v>34750</v>
      </c>
      <c r="S110" s="12"/>
    </row>
    <row r="111" spans="1:20" ht="54.95" customHeight="1">
      <c r="A111" s="51">
        <v>108</v>
      </c>
      <c r="B111" s="27" t="s">
        <v>332</v>
      </c>
      <c r="C111" s="12" t="s">
        <v>134</v>
      </c>
      <c r="D111" s="4"/>
      <c r="E111" s="12"/>
      <c r="F111" s="4"/>
      <c r="G111" s="4"/>
      <c r="H111" s="4"/>
      <c r="I111" s="6"/>
      <c r="J111" s="12"/>
      <c r="K111" s="12"/>
      <c r="L111" s="4"/>
      <c r="M111" s="4" t="s">
        <v>21</v>
      </c>
      <c r="N111" s="40" t="s">
        <v>431</v>
      </c>
      <c r="O111" s="54"/>
      <c r="P111" s="12">
        <v>38</v>
      </c>
      <c r="Q111" s="12">
        <v>0</v>
      </c>
      <c r="R111" s="37">
        <f t="shared" si="1"/>
        <v>7600</v>
      </c>
      <c r="S111" s="12"/>
    </row>
    <row r="112" spans="1:20" ht="54.95" customHeight="1">
      <c r="A112" s="51">
        <v>109</v>
      </c>
      <c r="B112" s="27" t="s">
        <v>333</v>
      </c>
      <c r="C112" s="12" t="s">
        <v>135</v>
      </c>
      <c r="D112" s="4"/>
      <c r="E112" s="12"/>
      <c r="F112" s="4"/>
      <c r="G112" s="4"/>
      <c r="H112" s="4"/>
      <c r="I112" s="6"/>
      <c r="J112" s="12"/>
      <c r="K112" s="12"/>
      <c r="L112" s="4"/>
      <c r="M112" s="4" t="s">
        <v>21</v>
      </c>
      <c r="N112" s="40" t="s">
        <v>431</v>
      </c>
      <c r="O112" s="54"/>
      <c r="P112" s="12">
        <v>20</v>
      </c>
      <c r="Q112" s="12">
        <v>0</v>
      </c>
      <c r="R112" s="37">
        <f t="shared" si="1"/>
        <v>4000</v>
      </c>
      <c r="S112" s="12"/>
    </row>
    <row r="113" spans="1:19" ht="54.95" customHeight="1">
      <c r="A113" s="51">
        <v>110</v>
      </c>
      <c r="B113" s="27" t="s">
        <v>334</v>
      </c>
      <c r="C113" s="12" t="s">
        <v>136</v>
      </c>
      <c r="D113" s="4"/>
      <c r="E113" s="12"/>
      <c r="F113" s="4"/>
      <c r="G113" s="4"/>
      <c r="H113" s="4"/>
      <c r="I113" s="6"/>
      <c r="J113" s="12"/>
      <c r="K113" s="12"/>
      <c r="L113" s="4"/>
      <c r="M113" s="4" t="s">
        <v>21</v>
      </c>
      <c r="N113" s="40" t="s">
        <v>431</v>
      </c>
      <c r="O113" s="54"/>
      <c r="P113" s="12">
        <v>0</v>
      </c>
      <c r="Q113" s="12">
        <v>10</v>
      </c>
      <c r="R113" s="37">
        <f t="shared" si="1"/>
        <v>3500</v>
      </c>
      <c r="S113" s="12"/>
    </row>
    <row r="114" spans="1:19" ht="54.95" customHeight="1">
      <c r="A114" s="51">
        <v>111</v>
      </c>
      <c r="B114" s="27" t="s">
        <v>335</v>
      </c>
      <c r="C114" s="12" t="s">
        <v>137</v>
      </c>
      <c r="D114" s="4"/>
      <c r="E114" s="12"/>
      <c r="F114" s="4"/>
      <c r="G114" s="4"/>
      <c r="H114" s="4"/>
      <c r="I114" s="6"/>
      <c r="J114" s="12"/>
      <c r="K114" s="12"/>
      <c r="L114" s="4"/>
      <c r="M114" s="4" t="s">
        <v>21</v>
      </c>
      <c r="N114" s="40" t="s">
        <v>431</v>
      </c>
      <c r="O114" s="54"/>
      <c r="P114" s="12">
        <f>4+10+7+4+9+8</f>
        <v>42</v>
      </c>
      <c r="Q114" s="12">
        <f>9+15+13+7+4+8</f>
        <v>56</v>
      </c>
      <c r="R114" s="37">
        <f t="shared" si="1"/>
        <v>28000</v>
      </c>
      <c r="S114" s="12"/>
    </row>
    <row r="115" spans="1:19" ht="62.25" customHeight="1">
      <c r="A115" s="51">
        <v>112</v>
      </c>
      <c r="B115" s="27" t="s">
        <v>294</v>
      </c>
      <c r="C115" s="50" t="s">
        <v>96</v>
      </c>
      <c r="D115" s="51"/>
      <c r="E115" s="50"/>
      <c r="F115" s="51"/>
      <c r="G115" s="51"/>
      <c r="H115" s="51"/>
      <c r="I115" s="6"/>
      <c r="J115" s="50"/>
      <c r="K115" s="50"/>
      <c r="L115" s="51"/>
      <c r="M115" s="51" t="s">
        <v>21</v>
      </c>
      <c r="N115" s="40" t="s">
        <v>431</v>
      </c>
      <c r="O115" s="54" t="s">
        <v>426</v>
      </c>
      <c r="P115" s="50">
        <v>0</v>
      </c>
      <c r="Q115" s="50">
        <v>467</v>
      </c>
      <c r="R115" s="37">
        <f t="shared" si="1"/>
        <v>163450</v>
      </c>
      <c r="S115" s="26" t="s">
        <v>434</v>
      </c>
    </row>
    <row r="116" spans="1:19" ht="259.5" customHeight="1">
      <c r="A116" s="51">
        <v>113</v>
      </c>
      <c r="B116" s="27" t="s">
        <v>336</v>
      </c>
      <c r="C116" s="12" t="s">
        <v>96</v>
      </c>
      <c r="D116" s="4"/>
      <c r="E116" s="12"/>
      <c r="F116" s="4"/>
      <c r="G116" s="4"/>
      <c r="H116" s="4"/>
      <c r="I116" s="6"/>
      <c r="J116" s="12"/>
      <c r="K116" s="12"/>
      <c r="L116" s="4"/>
      <c r="M116" s="4" t="s">
        <v>21</v>
      </c>
      <c r="N116" s="40" t="s">
        <v>431</v>
      </c>
      <c r="O116" s="54"/>
      <c r="P116" s="12">
        <f>0</f>
        <v>0</v>
      </c>
      <c r="Q116" s="12">
        <f>328+22+153+226</f>
        <v>729</v>
      </c>
      <c r="R116" s="37">
        <v>70500</v>
      </c>
      <c r="S116" s="26" t="s">
        <v>433</v>
      </c>
    </row>
    <row r="117" spans="1:19" ht="43.5" customHeight="1">
      <c r="A117" s="51">
        <v>114</v>
      </c>
      <c r="B117" s="27" t="s">
        <v>337</v>
      </c>
      <c r="C117" s="12" t="s">
        <v>138</v>
      </c>
      <c r="D117" s="4"/>
      <c r="E117" s="12"/>
      <c r="F117" s="4"/>
      <c r="G117" s="4"/>
      <c r="H117" s="4"/>
      <c r="I117" s="6"/>
      <c r="J117" s="12"/>
      <c r="K117" s="12"/>
      <c r="L117" s="4"/>
      <c r="M117" s="4" t="s">
        <v>21</v>
      </c>
      <c r="N117" s="40" t="s">
        <v>431</v>
      </c>
      <c r="O117" s="54"/>
      <c r="P117" s="12">
        <v>0</v>
      </c>
      <c r="Q117" s="12">
        <v>8</v>
      </c>
      <c r="R117" s="37">
        <f t="shared" si="1"/>
        <v>2800</v>
      </c>
      <c r="S117" s="12"/>
    </row>
    <row r="118" spans="1:19" ht="43.5" customHeight="1">
      <c r="A118" s="51">
        <v>115</v>
      </c>
      <c r="B118" s="27" t="s">
        <v>338</v>
      </c>
      <c r="C118" s="4" t="s">
        <v>139</v>
      </c>
      <c r="D118" s="4"/>
      <c r="E118" s="12"/>
      <c r="F118" s="4"/>
      <c r="G118" s="4"/>
      <c r="H118" s="4"/>
      <c r="I118" s="6"/>
      <c r="J118" s="12"/>
      <c r="K118" s="12"/>
      <c r="L118" s="4"/>
      <c r="M118" s="4" t="s">
        <v>21</v>
      </c>
      <c r="N118" s="40" t="s">
        <v>431</v>
      </c>
      <c r="O118" s="54"/>
      <c r="P118" s="12">
        <v>38</v>
      </c>
      <c r="Q118" s="12">
        <v>0</v>
      </c>
      <c r="R118" s="37">
        <f t="shared" si="1"/>
        <v>7600</v>
      </c>
      <c r="S118" s="22"/>
    </row>
    <row r="119" spans="1:19" ht="38.85" customHeight="1">
      <c r="A119" s="51">
        <v>116</v>
      </c>
      <c r="B119" s="27" t="s">
        <v>339</v>
      </c>
      <c r="C119" s="4" t="s">
        <v>140</v>
      </c>
      <c r="D119" s="4"/>
      <c r="E119" s="12"/>
      <c r="F119" s="4"/>
      <c r="G119" s="4"/>
      <c r="H119" s="4"/>
      <c r="I119" s="6"/>
      <c r="J119" s="56"/>
      <c r="K119" s="56"/>
      <c r="L119" s="4"/>
      <c r="M119" s="4" t="s">
        <v>21</v>
      </c>
      <c r="N119" s="40" t="s">
        <v>431</v>
      </c>
      <c r="O119" s="54"/>
      <c r="P119" s="4">
        <v>148</v>
      </c>
      <c r="Q119" s="4">
        <v>0</v>
      </c>
      <c r="R119" s="37">
        <f t="shared" si="1"/>
        <v>29600</v>
      </c>
      <c r="S119" s="22"/>
    </row>
    <row r="120" spans="1:19" ht="38.85" customHeight="1">
      <c r="A120" s="51">
        <v>117</v>
      </c>
      <c r="B120" s="27" t="s">
        <v>340</v>
      </c>
      <c r="C120" s="4" t="s">
        <v>141</v>
      </c>
      <c r="D120" s="4"/>
      <c r="E120" s="12"/>
      <c r="F120" s="4"/>
      <c r="G120" s="4"/>
      <c r="H120" s="4"/>
      <c r="I120" s="6"/>
      <c r="J120" s="4"/>
      <c r="K120" s="4"/>
      <c r="L120" s="4"/>
      <c r="M120" s="4" t="s">
        <v>21</v>
      </c>
      <c r="N120" s="40" t="s">
        <v>431</v>
      </c>
      <c r="O120" s="54"/>
      <c r="P120" s="4">
        <v>0</v>
      </c>
      <c r="Q120" s="4">
        <v>149</v>
      </c>
      <c r="R120" s="37">
        <f t="shared" si="1"/>
        <v>52150</v>
      </c>
      <c r="S120" s="22"/>
    </row>
    <row r="121" spans="1:19" ht="38.85" customHeight="1">
      <c r="A121" s="51">
        <v>118</v>
      </c>
      <c r="B121" s="27" t="s">
        <v>341</v>
      </c>
      <c r="C121" s="4" t="s">
        <v>142</v>
      </c>
      <c r="D121" s="4"/>
      <c r="E121" s="12"/>
      <c r="F121" s="4"/>
      <c r="G121" s="4"/>
      <c r="H121" s="4"/>
      <c r="I121" s="6"/>
      <c r="J121" s="4"/>
      <c r="K121" s="4"/>
      <c r="L121" s="4"/>
      <c r="M121" s="4" t="s">
        <v>21</v>
      </c>
      <c r="N121" s="40" t="s">
        <v>431</v>
      </c>
      <c r="O121" s="54"/>
      <c r="P121" s="4">
        <v>1</v>
      </c>
      <c r="Q121" s="4">
        <v>22</v>
      </c>
      <c r="R121" s="37">
        <f t="shared" si="1"/>
        <v>7900</v>
      </c>
      <c r="S121" s="22"/>
    </row>
    <row r="122" spans="1:19" ht="38.85" customHeight="1">
      <c r="A122" s="51">
        <v>119</v>
      </c>
      <c r="B122" s="40" t="s">
        <v>342</v>
      </c>
      <c r="C122" s="39" t="s">
        <v>143</v>
      </c>
      <c r="D122" s="39"/>
      <c r="E122" s="41"/>
      <c r="F122" s="39"/>
      <c r="G122" s="39"/>
      <c r="H122" s="39"/>
      <c r="I122" s="42"/>
      <c r="J122" s="39"/>
      <c r="K122" s="39"/>
      <c r="L122" s="39"/>
      <c r="M122" s="39" t="s">
        <v>21</v>
      </c>
      <c r="N122" s="40" t="s">
        <v>431</v>
      </c>
      <c r="O122" s="54"/>
      <c r="P122" s="39">
        <v>3</v>
      </c>
      <c r="Q122" s="39">
        <v>11</v>
      </c>
      <c r="R122" s="43">
        <f t="shared" si="1"/>
        <v>4450</v>
      </c>
      <c r="S122" s="44"/>
    </row>
    <row r="123" spans="1:19" s="49" customFormat="1" ht="57.2" customHeight="1">
      <c r="A123" s="30" t="s">
        <v>144</v>
      </c>
      <c r="B123" s="30"/>
      <c r="C123" s="32"/>
      <c r="D123" s="32"/>
      <c r="E123" s="32"/>
      <c r="F123" s="32"/>
      <c r="G123" s="32">
        <f>SUM(G5:G119)</f>
        <v>37831</v>
      </c>
      <c r="H123" s="32">
        <f>SUM(H4:H119)</f>
        <v>-1442919</v>
      </c>
      <c r="I123" s="6">
        <f>SUM(I4:I119)</f>
        <v>-470516600</v>
      </c>
      <c r="J123" s="56"/>
      <c r="K123" s="56"/>
      <c r="L123" s="8"/>
      <c r="M123" s="8"/>
      <c r="N123" s="8"/>
      <c r="O123" s="10"/>
      <c r="P123" s="32">
        <f>SUM(P5:P122)</f>
        <v>20150</v>
      </c>
      <c r="Q123" s="32">
        <f>SUM(Q4:Q122)</f>
        <v>33306</v>
      </c>
      <c r="R123" s="35">
        <f>SUM(R4:R122)</f>
        <v>15502450</v>
      </c>
      <c r="S123" s="22"/>
    </row>
    <row r="124" spans="1:19" ht="1.5" customHeight="1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6"/>
      <c r="M124" s="46"/>
      <c r="N124" s="46"/>
      <c r="O124" s="47"/>
      <c r="P124" s="46"/>
      <c r="Q124" s="46"/>
      <c r="R124" s="46"/>
      <c r="S124" s="48"/>
    </row>
  </sheetData>
  <mergeCells count="91">
    <mergeCell ref="A1:S1"/>
    <mergeCell ref="G2:H2"/>
    <mergeCell ref="P2:Q2"/>
    <mergeCell ref="J4:K4"/>
    <mergeCell ref="J5:K5"/>
    <mergeCell ref="S2:S3"/>
    <mergeCell ref="J2:K3"/>
    <mergeCell ref="B2:B3"/>
    <mergeCell ref="I2:I3"/>
    <mergeCell ref="L2:L3"/>
    <mergeCell ref="M2:M3"/>
    <mergeCell ref="O2:O3"/>
    <mergeCell ref="R2:R3"/>
    <mergeCell ref="N2:N3"/>
    <mergeCell ref="A2:A3"/>
    <mergeCell ref="C2:C3"/>
    <mergeCell ref="J6:K6"/>
    <mergeCell ref="J7:K7"/>
    <mergeCell ref="J8:K8"/>
    <mergeCell ref="J9:K9"/>
    <mergeCell ref="J10:K10"/>
    <mergeCell ref="J11:K11"/>
    <mergeCell ref="J12:K12"/>
    <mergeCell ref="J13:K13"/>
    <mergeCell ref="J14:K14"/>
    <mergeCell ref="J15:K15"/>
    <mergeCell ref="J24:K24"/>
    <mergeCell ref="J25:K25"/>
    <mergeCell ref="J16:K16"/>
    <mergeCell ref="J17:K17"/>
    <mergeCell ref="J18:K18"/>
    <mergeCell ref="J19:K19"/>
    <mergeCell ref="J20:K20"/>
    <mergeCell ref="J39:K39"/>
    <mergeCell ref="J40:K40"/>
    <mergeCell ref="J31:K31"/>
    <mergeCell ref="J32:K32"/>
    <mergeCell ref="J33:K33"/>
    <mergeCell ref="J34:K34"/>
    <mergeCell ref="J35:K35"/>
    <mergeCell ref="J48:K48"/>
    <mergeCell ref="J49:K49"/>
    <mergeCell ref="J50:K50"/>
    <mergeCell ref="J41:K41"/>
    <mergeCell ref="J42:K42"/>
    <mergeCell ref="J43:K43"/>
    <mergeCell ref="J44:K44"/>
    <mergeCell ref="J45:K45"/>
    <mergeCell ref="J46:K46"/>
    <mergeCell ref="J47:K47"/>
    <mergeCell ref="J119:K119"/>
    <mergeCell ref="J123:K123"/>
    <mergeCell ref="J60:K60"/>
    <mergeCell ref="J61:K61"/>
    <mergeCell ref="J62:K62"/>
    <mergeCell ref="J63:K63"/>
    <mergeCell ref="J64:K64"/>
    <mergeCell ref="J67:K67"/>
    <mergeCell ref="J65:K65"/>
    <mergeCell ref="J66:K66"/>
    <mergeCell ref="J56:K56"/>
    <mergeCell ref="J57:K57"/>
    <mergeCell ref="J58:K58"/>
    <mergeCell ref="J59:K59"/>
    <mergeCell ref="J51:K51"/>
    <mergeCell ref="J52:K52"/>
    <mergeCell ref="J53:K53"/>
    <mergeCell ref="J54:K54"/>
    <mergeCell ref="J55:K55"/>
    <mergeCell ref="D2:D3"/>
    <mergeCell ref="E2:E3"/>
    <mergeCell ref="F2:F3"/>
    <mergeCell ref="O4:O21"/>
    <mergeCell ref="O22:O38"/>
    <mergeCell ref="J36:K36"/>
    <mergeCell ref="J37:K37"/>
    <mergeCell ref="J38:K38"/>
    <mergeCell ref="J26:K26"/>
    <mergeCell ref="J27:K27"/>
    <mergeCell ref="J28:K28"/>
    <mergeCell ref="J29:K29"/>
    <mergeCell ref="J30:K30"/>
    <mergeCell ref="J21:K21"/>
    <mergeCell ref="J22:K22"/>
    <mergeCell ref="J23:K23"/>
    <mergeCell ref="O115:O122"/>
    <mergeCell ref="O39:O54"/>
    <mergeCell ref="O55:O70"/>
    <mergeCell ref="O71:O86"/>
    <mergeCell ref="O87:O101"/>
    <mergeCell ref="O102:O114"/>
  </mergeCells>
  <phoneticPr fontId="9" type="noConversion"/>
  <pageMargins left="0.70866141732283505" right="0.70866141732283505" top="0.74803149606299202" bottom="0.74803149606299202" header="0.31496062992126" footer="0.31496062992126"/>
  <pageSetup paperSize="9" scale="58" fitToHeight="0" orientation="landscape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L75"/>
  <sheetViews>
    <sheetView zoomScale="85" zoomScaleNormal="85" workbookViewId="0">
      <selection sqref="A1:L1"/>
    </sheetView>
  </sheetViews>
  <sheetFormatPr defaultColWidth="9" defaultRowHeight="13.5"/>
  <cols>
    <col min="1" max="1" width="6.5" style="1" customWidth="1"/>
    <col min="2" max="2" width="21.5" style="1" customWidth="1"/>
    <col min="3" max="3" width="42" style="1" customWidth="1"/>
    <col min="4" max="4" width="13.75" style="1" hidden="1" customWidth="1"/>
    <col min="5" max="5" width="15.25" style="1" hidden="1" customWidth="1"/>
    <col min="6" max="6" width="21.125" style="1" customWidth="1"/>
    <col min="7" max="7" width="26.75" style="1" customWidth="1"/>
    <col min="8" max="8" width="23.5" style="1" customWidth="1"/>
    <col min="9" max="9" width="11.375" style="1" customWidth="1"/>
    <col min="10" max="10" width="8.75" style="1" customWidth="1"/>
    <col min="11" max="11" width="15.375" style="1" customWidth="1"/>
    <col min="12" max="12" width="11.625" style="1" customWidth="1"/>
    <col min="13" max="16384" width="9" style="1"/>
  </cols>
  <sheetData>
    <row r="1" spans="1:12" ht="48.2" customHeight="1">
      <c r="A1" s="68" t="s">
        <v>435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>
      <c r="A2" s="55" t="s">
        <v>0</v>
      </c>
      <c r="B2" s="60" t="s">
        <v>224</v>
      </c>
      <c r="C2" s="55" t="s">
        <v>1</v>
      </c>
      <c r="D2" s="55" t="s">
        <v>14</v>
      </c>
      <c r="E2" s="55" t="s">
        <v>3</v>
      </c>
      <c r="F2" s="62" t="s">
        <v>14</v>
      </c>
      <c r="G2" s="62" t="s">
        <v>3</v>
      </c>
      <c r="H2" s="55" t="s">
        <v>15</v>
      </c>
      <c r="I2" s="55" t="s">
        <v>16</v>
      </c>
      <c r="J2" s="55"/>
      <c r="K2" s="55" t="s">
        <v>17</v>
      </c>
      <c r="L2" s="56" t="s">
        <v>9</v>
      </c>
    </row>
    <row r="3" spans="1:12">
      <c r="A3" s="55"/>
      <c r="B3" s="61"/>
      <c r="C3" s="55"/>
      <c r="D3" s="55"/>
      <c r="E3" s="55"/>
      <c r="F3" s="61"/>
      <c r="G3" s="61"/>
      <c r="H3" s="55"/>
      <c r="I3" s="7" t="s">
        <v>18</v>
      </c>
      <c r="J3" s="7" t="s">
        <v>19</v>
      </c>
      <c r="K3" s="55"/>
      <c r="L3" s="56"/>
    </row>
    <row r="4" spans="1:12" ht="32.65" customHeight="1">
      <c r="A4" s="4">
        <v>1</v>
      </c>
      <c r="B4" s="27" t="s">
        <v>413</v>
      </c>
      <c r="C4" s="4" t="s">
        <v>145</v>
      </c>
      <c r="D4" s="4" t="s">
        <v>146</v>
      </c>
      <c r="E4" s="12" t="s">
        <v>147</v>
      </c>
      <c r="F4" s="4" t="s">
        <v>146</v>
      </c>
      <c r="G4" s="12" t="s">
        <v>147</v>
      </c>
      <c r="H4" s="65" t="s">
        <v>425</v>
      </c>
      <c r="I4" s="4">
        <f>4+11+6</f>
        <v>21</v>
      </c>
      <c r="J4" s="4">
        <f>21+76+43+55</f>
        <v>195</v>
      </c>
      <c r="K4" s="35">
        <f>8150+28800+15050+20450</f>
        <v>72450</v>
      </c>
      <c r="L4" s="9"/>
    </row>
    <row r="5" spans="1:12" ht="32.1" customHeight="1">
      <c r="A5" s="4">
        <v>2</v>
      </c>
      <c r="B5" s="27" t="s">
        <v>344</v>
      </c>
      <c r="C5" s="4" t="s">
        <v>148</v>
      </c>
      <c r="D5" s="4" t="s">
        <v>146</v>
      </c>
      <c r="E5" s="12" t="s">
        <v>147</v>
      </c>
      <c r="F5" s="4" t="s">
        <v>146</v>
      </c>
      <c r="G5" s="12" t="s">
        <v>147</v>
      </c>
      <c r="H5" s="66"/>
      <c r="I5" s="4">
        <f>13+3</f>
        <v>16</v>
      </c>
      <c r="J5" s="4">
        <f>77+10</f>
        <v>87</v>
      </c>
      <c r="K5" s="35">
        <f>29550+4100</f>
        <v>33650</v>
      </c>
      <c r="L5" s="9"/>
    </row>
    <row r="6" spans="1:12" ht="29.25" customHeight="1">
      <c r="A6" s="4">
        <v>3</v>
      </c>
      <c r="B6" s="27" t="s">
        <v>345</v>
      </c>
      <c r="C6" s="4" t="s">
        <v>149</v>
      </c>
      <c r="D6" s="4" t="s">
        <v>146</v>
      </c>
      <c r="E6" s="12" t="s">
        <v>147</v>
      </c>
      <c r="F6" s="4" t="s">
        <v>146</v>
      </c>
      <c r="G6" s="12" t="s">
        <v>147</v>
      </c>
      <c r="H6" s="66"/>
      <c r="I6" s="4">
        <v>163</v>
      </c>
      <c r="J6" s="4">
        <v>296</v>
      </c>
      <c r="K6" s="35">
        <f>14350+33500+46750+5200+15400+21000</f>
        <v>136200</v>
      </c>
      <c r="L6" s="9"/>
    </row>
    <row r="7" spans="1:12" ht="32.65" customHeight="1">
      <c r="A7" s="4">
        <v>4</v>
      </c>
      <c r="B7" s="27" t="s">
        <v>346</v>
      </c>
      <c r="C7" s="4" t="s">
        <v>150</v>
      </c>
      <c r="D7" s="4" t="s">
        <v>146</v>
      </c>
      <c r="E7" s="12" t="s">
        <v>147</v>
      </c>
      <c r="F7" s="4" t="s">
        <v>146</v>
      </c>
      <c r="G7" s="12" t="s">
        <v>147</v>
      </c>
      <c r="H7" s="66"/>
      <c r="I7" s="4">
        <f>2+14+21+31</f>
        <v>68</v>
      </c>
      <c r="J7" s="4">
        <f>1+15+64+65</f>
        <v>145</v>
      </c>
      <c r="K7" s="35">
        <f>750+8050+26600+28950</f>
        <v>64350</v>
      </c>
      <c r="L7" s="9"/>
    </row>
    <row r="8" spans="1:12" ht="30.6" customHeight="1">
      <c r="A8" s="4">
        <v>5</v>
      </c>
      <c r="B8" s="27" t="s">
        <v>347</v>
      </c>
      <c r="C8" s="4" t="s">
        <v>151</v>
      </c>
      <c r="D8" s="4" t="s">
        <v>146</v>
      </c>
      <c r="E8" s="12" t="s">
        <v>147</v>
      </c>
      <c r="F8" s="4" t="s">
        <v>146</v>
      </c>
      <c r="G8" s="12" t="s">
        <v>147</v>
      </c>
      <c r="H8" s="66"/>
      <c r="I8" s="4">
        <v>0</v>
      </c>
      <c r="J8" s="4">
        <f>6+18+90+25</f>
        <v>139</v>
      </c>
      <c r="K8" s="35">
        <f>2100+6300+31500+8750</f>
        <v>48650</v>
      </c>
      <c r="L8" s="9"/>
    </row>
    <row r="9" spans="1:12" ht="33.200000000000003" customHeight="1">
      <c r="A9" s="4">
        <v>6</v>
      </c>
      <c r="B9" s="27" t="s">
        <v>348</v>
      </c>
      <c r="C9" s="4" t="s">
        <v>152</v>
      </c>
      <c r="D9" s="4" t="s">
        <v>146</v>
      </c>
      <c r="E9" s="12" t="s">
        <v>147</v>
      </c>
      <c r="F9" s="4" t="s">
        <v>146</v>
      </c>
      <c r="G9" s="12" t="s">
        <v>147</v>
      </c>
      <c r="H9" s="66"/>
      <c r="I9" s="4">
        <v>3</v>
      </c>
      <c r="J9" s="4">
        <v>12</v>
      </c>
      <c r="K9" s="35">
        <v>4800</v>
      </c>
      <c r="L9" s="9"/>
    </row>
    <row r="10" spans="1:12" ht="40.15" customHeight="1">
      <c r="A10" s="4">
        <v>7</v>
      </c>
      <c r="B10" s="27" t="s">
        <v>349</v>
      </c>
      <c r="C10" s="4" t="s">
        <v>153</v>
      </c>
      <c r="D10" s="4" t="s">
        <v>146</v>
      </c>
      <c r="E10" s="12" t="s">
        <v>147</v>
      </c>
      <c r="F10" s="4" t="s">
        <v>146</v>
      </c>
      <c r="G10" s="12" t="s">
        <v>147</v>
      </c>
      <c r="H10" s="66"/>
      <c r="I10" s="4">
        <v>25</v>
      </c>
      <c r="J10" s="4">
        <v>19</v>
      </c>
      <c r="K10" s="35">
        <v>11650</v>
      </c>
      <c r="L10" s="9"/>
    </row>
    <row r="11" spans="1:12" ht="36" customHeight="1">
      <c r="A11" s="4">
        <v>8</v>
      </c>
      <c r="B11" s="27" t="s">
        <v>350</v>
      </c>
      <c r="C11" s="4" t="s">
        <v>154</v>
      </c>
      <c r="D11" s="4" t="s">
        <v>146</v>
      </c>
      <c r="E11" s="12" t="s">
        <v>147</v>
      </c>
      <c r="F11" s="4" t="s">
        <v>146</v>
      </c>
      <c r="G11" s="12" t="s">
        <v>147</v>
      </c>
      <c r="H11" s="66"/>
      <c r="I11" s="4">
        <v>0</v>
      </c>
      <c r="J11" s="4">
        <f>23+15+18+33+31+32</f>
        <v>152</v>
      </c>
      <c r="K11" s="35">
        <f>8050+5250+6300+11550+10850+11200</f>
        <v>53200</v>
      </c>
      <c r="L11" s="9"/>
    </row>
    <row r="12" spans="1:12" ht="36.75" customHeight="1">
      <c r="A12" s="4">
        <v>9</v>
      </c>
      <c r="B12" s="27" t="s">
        <v>351</v>
      </c>
      <c r="C12" s="4" t="s">
        <v>155</v>
      </c>
      <c r="D12" s="4" t="s">
        <v>146</v>
      </c>
      <c r="E12" s="12" t="s">
        <v>147</v>
      </c>
      <c r="F12" s="4" t="s">
        <v>146</v>
      </c>
      <c r="G12" s="12" t="s">
        <v>147</v>
      </c>
      <c r="H12" s="66"/>
      <c r="I12" s="4">
        <v>0</v>
      </c>
      <c r="J12" s="4">
        <f>32+37+29</f>
        <v>98</v>
      </c>
      <c r="K12" s="35">
        <f>11200+12950+10150</f>
        <v>34300</v>
      </c>
      <c r="L12" s="9"/>
    </row>
    <row r="13" spans="1:12" ht="39.4" customHeight="1">
      <c r="A13" s="4">
        <v>10</v>
      </c>
      <c r="B13" s="27" t="s">
        <v>352</v>
      </c>
      <c r="C13" s="4" t="s">
        <v>156</v>
      </c>
      <c r="D13" s="4" t="s">
        <v>146</v>
      </c>
      <c r="E13" s="12" t="s">
        <v>147</v>
      </c>
      <c r="F13" s="4" t="s">
        <v>146</v>
      </c>
      <c r="G13" s="12" t="s">
        <v>147</v>
      </c>
      <c r="H13" s="66"/>
      <c r="I13" s="4">
        <v>3</v>
      </c>
      <c r="J13" s="4">
        <f>10+2</f>
        <v>12</v>
      </c>
      <c r="K13" s="35">
        <f>4100+700</f>
        <v>4800</v>
      </c>
      <c r="L13" s="9"/>
    </row>
    <row r="14" spans="1:12" ht="46.9" customHeight="1">
      <c r="A14" s="4">
        <v>11</v>
      </c>
      <c r="B14" s="27" t="s">
        <v>353</v>
      </c>
      <c r="C14" s="4" t="s">
        <v>157</v>
      </c>
      <c r="D14" s="4" t="s">
        <v>146</v>
      </c>
      <c r="E14" s="12" t="s">
        <v>147</v>
      </c>
      <c r="F14" s="4" t="s">
        <v>146</v>
      </c>
      <c r="G14" s="12" t="s">
        <v>147</v>
      </c>
      <c r="H14" s="66"/>
      <c r="I14" s="4">
        <f>1+10</f>
        <v>11</v>
      </c>
      <c r="J14" s="4">
        <f>36+23</f>
        <v>59</v>
      </c>
      <c r="K14" s="35">
        <f>12800+10050</f>
        <v>22850</v>
      </c>
      <c r="L14" s="9"/>
    </row>
    <row r="15" spans="1:12" ht="38.1" customHeight="1">
      <c r="A15" s="4">
        <v>12</v>
      </c>
      <c r="B15" s="27" t="s">
        <v>354</v>
      </c>
      <c r="C15" s="4" t="s">
        <v>158</v>
      </c>
      <c r="D15" s="4" t="s">
        <v>146</v>
      </c>
      <c r="E15" s="12" t="s">
        <v>147</v>
      </c>
      <c r="F15" s="4" t="s">
        <v>146</v>
      </c>
      <c r="G15" s="12" t="s">
        <v>147</v>
      </c>
      <c r="H15" s="66"/>
      <c r="I15" s="4">
        <v>0</v>
      </c>
      <c r="J15" s="4">
        <v>66</v>
      </c>
      <c r="K15" s="35">
        <v>23100</v>
      </c>
      <c r="L15" s="9"/>
    </row>
    <row r="16" spans="1:12" ht="36" customHeight="1">
      <c r="A16" s="4">
        <v>13</v>
      </c>
      <c r="B16" s="27" t="s">
        <v>355</v>
      </c>
      <c r="C16" s="4" t="s">
        <v>159</v>
      </c>
      <c r="D16" s="4" t="s">
        <v>146</v>
      </c>
      <c r="E16" s="12" t="s">
        <v>147</v>
      </c>
      <c r="F16" s="4" t="s">
        <v>146</v>
      </c>
      <c r="G16" s="12" t="s">
        <v>147</v>
      </c>
      <c r="H16" s="66"/>
      <c r="I16" s="4">
        <v>0</v>
      </c>
      <c r="J16" s="4">
        <f>1+1</f>
        <v>2</v>
      </c>
      <c r="K16" s="35">
        <f>350+350</f>
        <v>700</v>
      </c>
      <c r="L16" s="9"/>
    </row>
    <row r="17" spans="1:12" ht="49.7" customHeight="1">
      <c r="A17" s="4">
        <v>14</v>
      </c>
      <c r="B17" s="27" t="s">
        <v>356</v>
      </c>
      <c r="C17" s="4" t="s">
        <v>160</v>
      </c>
      <c r="D17" s="4" t="s">
        <v>146</v>
      </c>
      <c r="E17" s="12" t="s">
        <v>147</v>
      </c>
      <c r="F17" s="4" t="s">
        <v>146</v>
      </c>
      <c r="G17" s="12" t="s">
        <v>147</v>
      </c>
      <c r="H17" s="66"/>
      <c r="I17" s="4">
        <v>0</v>
      </c>
      <c r="J17" s="4">
        <f>58+15</f>
        <v>73</v>
      </c>
      <c r="K17" s="35">
        <f>20300+5250</f>
        <v>25550</v>
      </c>
      <c r="L17" s="9"/>
    </row>
    <row r="18" spans="1:12" ht="38.1" customHeight="1">
      <c r="A18" s="4">
        <v>15</v>
      </c>
      <c r="B18" s="27" t="s">
        <v>357</v>
      </c>
      <c r="C18" s="4" t="s">
        <v>161</v>
      </c>
      <c r="D18" s="4" t="s">
        <v>146</v>
      </c>
      <c r="E18" s="12" t="s">
        <v>147</v>
      </c>
      <c r="F18" s="4" t="s">
        <v>146</v>
      </c>
      <c r="G18" s="12" t="s">
        <v>147</v>
      </c>
      <c r="H18" s="66"/>
      <c r="I18" s="4">
        <f>2+7+2</f>
        <v>11</v>
      </c>
      <c r="J18" s="4">
        <f>16+3</f>
        <v>19</v>
      </c>
      <c r="K18" s="35">
        <f>400+7000+1450</f>
        <v>8850</v>
      </c>
      <c r="L18" s="9"/>
    </row>
    <row r="19" spans="1:12" ht="38.1" customHeight="1">
      <c r="A19" s="4">
        <v>16</v>
      </c>
      <c r="B19" s="27" t="s">
        <v>358</v>
      </c>
      <c r="C19" s="4" t="s">
        <v>162</v>
      </c>
      <c r="D19" s="4" t="s">
        <v>146</v>
      </c>
      <c r="E19" s="12" t="s">
        <v>147</v>
      </c>
      <c r="F19" s="4" t="s">
        <v>146</v>
      </c>
      <c r="G19" s="12" t="s">
        <v>147</v>
      </c>
      <c r="H19" s="67"/>
      <c r="I19" s="4">
        <v>0</v>
      </c>
      <c r="J19" s="4">
        <v>234</v>
      </c>
      <c r="K19" s="35">
        <v>81900</v>
      </c>
      <c r="L19" s="9"/>
    </row>
    <row r="20" spans="1:12" ht="38.1" customHeight="1">
      <c r="A20" s="4">
        <v>17</v>
      </c>
      <c r="B20" s="27" t="s">
        <v>359</v>
      </c>
      <c r="C20" s="4" t="s">
        <v>163</v>
      </c>
      <c r="D20" s="4" t="s">
        <v>146</v>
      </c>
      <c r="E20" s="12" t="s">
        <v>147</v>
      </c>
      <c r="F20" s="4" t="s">
        <v>146</v>
      </c>
      <c r="G20" s="12" t="s">
        <v>147</v>
      </c>
      <c r="H20" s="65" t="s">
        <v>424</v>
      </c>
      <c r="I20" s="4">
        <v>208</v>
      </c>
      <c r="J20" s="4">
        <v>0</v>
      </c>
      <c r="K20" s="35">
        <v>41600</v>
      </c>
      <c r="L20" s="9"/>
    </row>
    <row r="21" spans="1:12" ht="38.1" customHeight="1">
      <c r="A21" s="4">
        <v>18</v>
      </c>
      <c r="B21" s="27" t="s">
        <v>360</v>
      </c>
      <c r="C21" s="4" t="s">
        <v>164</v>
      </c>
      <c r="D21" s="4" t="s">
        <v>146</v>
      </c>
      <c r="E21" s="12" t="s">
        <v>147</v>
      </c>
      <c r="F21" s="4" t="s">
        <v>146</v>
      </c>
      <c r="G21" s="12" t="s">
        <v>147</v>
      </c>
      <c r="H21" s="66"/>
      <c r="I21" s="4">
        <f>803+354</f>
        <v>1157</v>
      </c>
      <c r="J21" s="4">
        <v>0</v>
      </c>
      <c r="K21" s="35">
        <f>160600+70800</f>
        <v>231400</v>
      </c>
      <c r="L21" s="9"/>
    </row>
    <row r="22" spans="1:12" ht="38.1" customHeight="1">
      <c r="A22" s="4">
        <v>19</v>
      </c>
      <c r="B22" s="27" t="s">
        <v>361</v>
      </c>
      <c r="C22" s="4" t="s">
        <v>165</v>
      </c>
      <c r="D22" s="4" t="s">
        <v>146</v>
      </c>
      <c r="E22" s="12" t="s">
        <v>147</v>
      </c>
      <c r="F22" s="4" t="s">
        <v>146</v>
      </c>
      <c r="G22" s="12" t="s">
        <v>147</v>
      </c>
      <c r="H22" s="66"/>
      <c r="I22" s="4">
        <v>46</v>
      </c>
      <c r="J22" s="4">
        <v>118</v>
      </c>
      <c r="K22" s="35">
        <v>50500</v>
      </c>
      <c r="L22" s="9"/>
    </row>
    <row r="23" spans="1:12" ht="38.1" customHeight="1">
      <c r="A23" s="4">
        <v>20</v>
      </c>
      <c r="B23" s="27" t="s">
        <v>362</v>
      </c>
      <c r="C23" s="4" t="s">
        <v>166</v>
      </c>
      <c r="D23" s="4" t="s">
        <v>146</v>
      </c>
      <c r="E23" s="12" t="s">
        <v>147</v>
      </c>
      <c r="F23" s="4" t="s">
        <v>146</v>
      </c>
      <c r="G23" s="12" t="s">
        <v>147</v>
      </c>
      <c r="H23" s="66"/>
      <c r="I23" s="4">
        <f>3+5+3</f>
        <v>11</v>
      </c>
      <c r="J23" s="4">
        <f>4+8+1</f>
        <v>13</v>
      </c>
      <c r="K23" s="35">
        <f>2000+3800+950</f>
        <v>6750</v>
      </c>
      <c r="L23" s="9"/>
    </row>
    <row r="24" spans="1:12" ht="38.1" customHeight="1">
      <c r="A24" s="4">
        <v>21</v>
      </c>
      <c r="B24" s="27" t="s">
        <v>363</v>
      </c>
      <c r="C24" s="4" t="s">
        <v>167</v>
      </c>
      <c r="D24" s="4" t="s">
        <v>146</v>
      </c>
      <c r="E24" s="12" t="s">
        <v>147</v>
      </c>
      <c r="F24" s="4" t="s">
        <v>146</v>
      </c>
      <c r="G24" s="12" t="s">
        <v>147</v>
      </c>
      <c r="H24" s="66"/>
      <c r="I24" s="4">
        <f>223+4</f>
        <v>227</v>
      </c>
      <c r="J24" s="4">
        <v>4</v>
      </c>
      <c r="K24" s="35">
        <f>55750+2600</f>
        <v>58350</v>
      </c>
      <c r="L24" s="17" t="s">
        <v>168</v>
      </c>
    </row>
    <row r="25" spans="1:12" ht="38.1" customHeight="1">
      <c r="A25" s="4">
        <v>22</v>
      </c>
      <c r="B25" s="27" t="s">
        <v>364</v>
      </c>
      <c r="C25" s="4" t="s">
        <v>169</v>
      </c>
      <c r="D25" s="4" t="s">
        <v>146</v>
      </c>
      <c r="E25" s="12" t="s">
        <v>147</v>
      </c>
      <c r="F25" s="4" t="s">
        <v>146</v>
      </c>
      <c r="G25" s="12" t="s">
        <v>147</v>
      </c>
      <c r="H25" s="66"/>
      <c r="I25" s="4">
        <v>2</v>
      </c>
      <c r="J25" s="4">
        <f>89+43+42+52</f>
        <v>226</v>
      </c>
      <c r="K25" s="35">
        <v>79500</v>
      </c>
      <c r="L25" s="9"/>
    </row>
    <row r="26" spans="1:12" ht="30" customHeight="1">
      <c r="A26" s="4">
        <v>23</v>
      </c>
      <c r="B26" s="27" t="s">
        <v>365</v>
      </c>
      <c r="C26" s="4" t="s">
        <v>170</v>
      </c>
      <c r="D26" s="4" t="s">
        <v>146</v>
      </c>
      <c r="E26" s="12" t="s">
        <v>147</v>
      </c>
      <c r="F26" s="4" t="s">
        <v>146</v>
      </c>
      <c r="G26" s="12" t="s">
        <v>147</v>
      </c>
      <c r="H26" s="66"/>
      <c r="I26" s="4">
        <f>5+101+53+306+21+9</f>
        <v>495</v>
      </c>
      <c r="J26" s="4">
        <f>16+15+14+23+49+26</f>
        <v>143</v>
      </c>
      <c r="K26" s="35">
        <f>6600+25450+15500+69250+21350+10900</f>
        <v>149050</v>
      </c>
      <c r="L26" s="9"/>
    </row>
    <row r="27" spans="1:12" ht="30" customHeight="1">
      <c r="A27" s="4">
        <v>24</v>
      </c>
      <c r="B27" s="27" t="s">
        <v>366</v>
      </c>
      <c r="C27" s="4" t="s">
        <v>171</v>
      </c>
      <c r="D27" s="4" t="s">
        <v>146</v>
      </c>
      <c r="E27" s="12" t="s">
        <v>147</v>
      </c>
      <c r="F27" s="4" t="s">
        <v>146</v>
      </c>
      <c r="G27" s="12" t="s">
        <v>147</v>
      </c>
      <c r="H27" s="66"/>
      <c r="I27" s="4">
        <v>0</v>
      </c>
      <c r="J27" s="4">
        <f>111+20+100</f>
        <v>231</v>
      </c>
      <c r="K27" s="35">
        <f>38850+7000+35000</f>
        <v>80850</v>
      </c>
      <c r="L27" s="9"/>
    </row>
    <row r="28" spans="1:12" ht="30" customHeight="1">
      <c r="A28" s="4">
        <v>25</v>
      </c>
      <c r="B28" s="27" t="s">
        <v>367</v>
      </c>
      <c r="C28" s="4" t="s">
        <v>172</v>
      </c>
      <c r="D28" s="4" t="s">
        <v>146</v>
      </c>
      <c r="E28" s="12" t="s">
        <v>147</v>
      </c>
      <c r="F28" s="4" t="s">
        <v>146</v>
      </c>
      <c r="G28" s="12" t="s">
        <v>147</v>
      </c>
      <c r="H28" s="66"/>
      <c r="I28" s="4">
        <f>12+4+9+15+18+21</f>
        <v>79</v>
      </c>
      <c r="J28" s="4">
        <f>2+3+1+2</f>
        <v>8</v>
      </c>
      <c r="K28" s="35">
        <f>2400+800+2500+4050+3950+4900</f>
        <v>18600</v>
      </c>
      <c r="L28" s="9"/>
    </row>
    <row r="29" spans="1:12" ht="30" customHeight="1">
      <c r="A29" s="4">
        <v>26</v>
      </c>
      <c r="B29" s="27" t="s">
        <v>368</v>
      </c>
      <c r="C29" s="4" t="s">
        <v>173</v>
      </c>
      <c r="D29" s="4" t="s">
        <v>146</v>
      </c>
      <c r="E29" s="12" t="s">
        <v>147</v>
      </c>
      <c r="F29" s="4" t="s">
        <v>146</v>
      </c>
      <c r="G29" s="12" t="s">
        <v>147</v>
      </c>
      <c r="H29" s="66"/>
      <c r="I29" s="4">
        <f>2+5</f>
        <v>7</v>
      </c>
      <c r="J29" s="4">
        <f>119+232</f>
        <v>351</v>
      </c>
      <c r="K29" s="35">
        <f>42050+82200</f>
        <v>124250</v>
      </c>
      <c r="L29" s="9"/>
    </row>
    <row r="30" spans="1:12" ht="30" customHeight="1">
      <c r="A30" s="4">
        <v>27</v>
      </c>
      <c r="B30" s="27" t="s">
        <v>369</v>
      </c>
      <c r="C30" s="4" t="s">
        <v>174</v>
      </c>
      <c r="D30" s="4" t="s">
        <v>146</v>
      </c>
      <c r="E30" s="12" t="s">
        <v>147</v>
      </c>
      <c r="F30" s="4" t="s">
        <v>146</v>
      </c>
      <c r="G30" s="12" t="s">
        <v>147</v>
      </c>
      <c r="H30" s="66"/>
      <c r="I30" s="4">
        <f>19+37+27</f>
        <v>83</v>
      </c>
      <c r="J30" s="4">
        <v>0</v>
      </c>
      <c r="K30" s="35">
        <f>3800+7400+5400</f>
        <v>16600</v>
      </c>
      <c r="L30" s="9"/>
    </row>
    <row r="31" spans="1:12" ht="30" customHeight="1">
      <c r="A31" s="4">
        <v>28</v>
      </c>
      <c r="B31" s="27" t="s">
        <v>370</v>
      </c>
      <c r="C31" s="4" t="s">
        <v>175</v>
      </c>
      <c r="D31" s="4" t="s">
        <v>146</v>
      </c>
      <c r="E31" s="12" t="s">
        <v>147</v>
      </c>
      <c r="F31" s="4" t="s">
        <v>146</v>
      </c>
      <c r="G31" s="12" t="s">
        <v>147</v>
      </c>
      <c r="H31" s="66"/>
      <c r="I31" s="4">
        <f>3+3+4+2</f>
        <v>12</v>
      </c>
      <c r="J31" s="4">
        <f>4+1+1</f>
        <v>6</v>
      </c>
      <c r="K31" s="35">
        <f>2000+950+1150+400</f>
        <v>4500</v>
      </c>
      <c r="L31" s="9"/>
    </row>
    <row r="32" spans="1:12" ht="30" customHeight="1">
      <c r="A32" s="4">
        <v>29</v>
      </c>
      <c r="B32" s="27" t="s">
        <v>371</v>
      </c>
      <c r="C32" s="4" t="s">
        <v>176</v>
      </c>
      <c r="D32" s="4" t="s">
        <v>146</v>
      </c>
      <c r="E32" s="12" t="s">
        <v>147</v>
      </c>
      <c r="F32" s="4" t="s">
        <v>146</v>
      </c>
      <c r="G32" s="12" t="s">
        <v>147</v>
      </c>
      <c r="H32" s="66"/>
      <c r="I32" s="4">
        <v>4</v>
      </c>
      <c r="J32" s="4">
        <v>6</v>
      </c>
      <c r="K32" s="35">
        <v>2900</v>
      </c>
      <c r="L32" s="9"/>
    </row>
    <row r="33" spans="1:12" ht="30" customHeight="1">
      <c r="A33" s="4">
        <v>30</v>
      </c>
      <c r="B33" s="27" t="s">
        <v>372</v>
      </c>
      <c r="C33" s="4" t="s">
        <v>177</v>
      </c>
      <c r="D33" s="4" t="s">
        <v>146</v>
      </c>
      <c r="E33" s="12" t="s">
        <v>147</v>
      </c>
      <c r="F33" s="4" t="s">
        <v>146</v>
      </c>
      <c r="G33" s="12" t="s">
        <v>147</v>
      </c>
      <c r="H33" s="66"/>
      <c r="I33" s="4">
        <v>30</v>
      </c>
      <c r="J33" s="4">
        <v>0</v>
      </c>
      <c r="K33" s="35">
        <v>6000</v>
      </c>
      <c r="L33" s="9"/>
    </row>
    <row r="34" spans="1:12" ht="38.1" customHeight="1">
      <c r="A34" s="4">
        <v>31</v>
      </c>
      <c r="B34" s="27" t="s">
        <v>373</v>
      </c>
      <c r="C34" s="4" t="s">
        <v>178</v>
      </c>
      <c r="D34" s="4" t="s">
        <v>146</v>
      </c>
      <c r="E34" s="12" t="s">
        <v>147</v>
      </c>
      <c r="F34" s="4" t="s">
        <v>146</v>
      </c>
      <c r="G34" s="12" t="s">
        <v>147</v>
      </c>
      <c r="H34" s="66"/>
      <c r="I34" s="4">
        <v>88</v>
      </c>
      <c r="J34" s="4">
        <v>2350</v>
      </c>
      <c r="K34" s="35">
        <v>840100</v>
      </c>
      <c r="L34" s="9"/>
    </row>
    <row r="35" spans="1:12" ht="38.1" customHeight="1">
      <c r="A35" s="4">
        <v>32</v>
      </c>
      <c r="B35" s="27" t="s">
        <v>374</v>
      </c>
      <c r="C35" s="4" t="s">
        <v>179</v>
      </c>
      <c r="D35" s="4" t="s">
        <v>146</v>
      </c>
      <c r="E35" s="12" t="s">
        <v>147</v>
      </c>
      <c r="F35" s="4" t="s">
        <v>146</v>
      </c>
      <c r="G35" s="12" t="s">
        <v>147</v>
      </c>
      <c r="H35" s="66"/>
      <c r="I35" s="4">
        <v>56</v>
      </c>
      <c r="J35" s="4">
        <v>1226</v>
      </c>
      <c r="K35" s="35">
        <v>440300</v>
      </c>
      <c r="L35" s="9"/>
    </row>
    <row r="36" spans="1:12" ht="38.1" customHeight="1">
      <c r="A36" s="4">
        <v>33</v>
      </c>
      <c r="B36" s="27" t="s">
        <v>375</v>
      </c>
      <c r="C36" s="4" t="s">
        <v>180</v>
      </c>
      <c r="D36" s="4" t="s">
        <v>146</v>
      </c>
      <c r="E36" s="12" t="s">
        <v>147</v>
      </c>
      <c r="F36" s="4" t="s">
        <v>146</v>
      </c>
      <c r="G36" s="12" t="s">
        <v>147</v>
      </c>
      <c r="H36" s="66"/>
      <c r="I36" s="4">
        <f>5+18</f>
        <v>23</v>
      </c>
      <c r="J36" s="4">
        <f>2+8</f>
        <v>10</v>
      </c>
      <c r="K36" s="35">
        <f>1700+6400</f>
        <v>8100</v>
      </c>
      <c r="L36" s="9"/>
    </row>
    <row r="37" spans="1:12" ht="38.1" customHeight="1">
      <c r="A37" s="4">
        <v>34</v>
      </c>
      <c r="B37" s="27" t="s">
        <v>376</v>
      </c>
      <c r="C37" s="4" t="s">
        <v>181</v>
      </c>
      <c r="D37" s="4" t="s">
        <v>146</v>
      </c>
      <c r="E37" s="12" t="s">
        <v>147</v>
      </c>
      <c r="F37" s="4" t="s">
        <v>146</v>
      </c>
      <c r="G37" s="12" t="s">
        <v>147</v>
      </c>
      <c r="H37" s="67"/>
      <c r="I37" s="4">
        <v>254</v>
      </c>
      <c r="J37" s="4">
        <v>0</v>
      </c>
      <c r="K37" s="35">
        <v>50800</v>
      </c>
      <c r="L37" s="9"/>
    </row>
    <row r="38" spans="1:12" ht="38.1" customHeight="1">
      <c r="A38" s="4">
        <v>35</v>
      </c>
      <c r="B38" s="27" t="s">
        <v>377</v>
      </c>
      <c r="C38" s="4" t="s">
        <v>182</v>
      </c>
      <c r="D38" s="4" t="s">
        <v>146</v>
      </c>
      <c r="E38" s="12" t="s">
        <v>147</v>
      </c>
      <c r="F38" s="4" t="s">
        <v>146</v>
      </c>
      <c r="G38" s="12" t="s">
        <v>147</v>
      </c>
      <c r="H38" s="65" t="s">
        <v>424</v>
      </c>
      <c r="I38" s="4">
        <v>563</v>
      </c>
      <c r="J38" s="4">
        <v>0</v>
      </c>
      <c r="K38" s="35">
        <v>140750</v>
      </c>
      <c r="L38" s="9" t="s">
        <v>168</v>
      </c>
    </row>
    <row r="39" spans="1:12" ht="38.1" customHeight="1">
      <c r="A39" s="4">
        <v>36</v>
      </c>
      <c r="B39" s="27" t="s">
        <v>378</v>
      </c>
      <c r="C39" s="4" t="s">
        <v>183</v>
      </c>
      <c r="D39" s="4" t="s">
        <v>146</v>
      </c>
      <c r="E39" s="12" t="s">
        <v>147</v>
      </c>
      <c r="F39" s="4" t="s">
        <v>146</v>
      </c>
      <c r="G39" s="12" t="s">
        <v>147</v>
      </c>
      <c r="H39" s="66"/>
      <c r="I39" s="4">
        <f>101+100+117+114+88+87+5</f>
        <v>612</v>
      </c>
      <c r="J39" s="4">
        <v>0</v>
      </c>
      <c r="K39" s="35">
        <f>20200+20000+23400+22800+17600+17400+1000</f>
        <v>122400</v>
      </c>
      <c r="L39" s="9"/>
    </row>
    <row r="40" spans="1:12" ht="38.1" customHeight="1">
      <c r="A40" s="4">
        <v>37</v>
      </c>
      <c r="B40" s="27" t="s">
        <v>379</v>
      </c>
      <c r="C40" s="4" t="s">
        <v>184</v>
      </c>
      <c r="D40" s="4" t="s">
        <v>146</v>
      </c>
      <c r="E40" s="12" t="s">
        <v>147</v>
      </c>
      <c r="F40" s="4" t="s">
        <v>146</v>
      </c>
      <c r="G40" s="12" t="s">
        <v>147</v>
      </c>
      <c r="H40" s="66"/>
      <c r="I40" s="4">
        <f>1+1+1</f>
        <v>3</v>
      </c>
      <c r="J40" s="4">
        <f>5+10</f>
        <v>15</v>
      </c>
      <c r="K40" s="35">
        <f>1950+200+3700</f>
        <v>5850</v>
      </c>
      <c r="L40" s="9"/>
    </row>
    <row r="41" spans="1:12" ht="38.1" customHeight="1">
      <c r="A41" s="4">
        <v>38</v>
      </c>
      <c r="B41" s="27" t="s">
        <v>380</v>
      </c>
      <c r="C41" s="4" t="s">
        <v>185</v>
      </c>
      <c r="D41" s="4" t="s">
        <v>146</v>
      </c>
      <c r="E41" s="12" t="s">
        <v>147</v>
      </c>
      <c r="F41" s="4" t="s">
        <v>146</v>
      </c>
      <c r="G41" s="12" t="s">
        <v>147</v>
      </c>
      <c r="H41" s="66"/>
      <c r="I41" s="4">
        <v>13</v>
      </c>
      <c r="J41" s="4">
        <v>0</v>
      </c>
      <c r="K41" s="35">
        <v>2600</v>
      </c>
      <c r="L41" s="9"/>
    </row>
    <row r="42" spans="1:12" ht="38.1" customHeight="1">
      <c r="A42" s="4">
        <v>39</v>
      </c>
      <c r="B42" s="27" t="s">
        <v>381</v>
      </c>
      <c r="C42" s="4" t="s">
        <v>104</v>
      </c>
      <c r="D42" s="4" t="s">
        <v>146</v>
      </c>
      <c r="E42" s="12" t="s">
        <v>147</v>
      </c>
      <c r="F42" s="4" t="s">
        <v>146</v>
      </c>
      <c r="G42" s="12" t="s">
        <v>147</v>
      </c>
      <c r="H42" s="66"/>
      <c r="I42" s="4">
        <v>0</v>
      </c>
      <c r="J42" s="4">
        <v>109</v>
      </c>
      <c r="K42" s="35">
        <f>1050+1050+7350+3500+7350+17850</f>
        <v>38150</v>
      </c>
      <c r="L42" s="9"/>
    </row>
    <row r="43" spans="1:12" ht="38.1" customHeight="1">
      <c r="A43" s="4">
        <v>40</v>
      </c>
      <c r="B43" s="27" t="s">
        <v>382</v>
      </c>
      <c r="C43" s="4" t="s">
        <v>186</v>
      </c>
      <c r="D43" s="4" t="s">
        <v>146</v>
      </c>
      <c r="E43" s="12" t="s">
        <v>147</v>
      </c>
      <c r="F43" s="4" t="s">
        <v>146</v>
      </c>
      <c r="G43" s="26" t="s">
        <v>430</v>
      </c>
      <c r="H43" s="66"/>
      <c r="I43" s="4">
        <v>0</v>
      </c>
      <c r="J43" s="4">
        <v>3</v>
      </c>
      <c r="K43" s="35">
        <v>1050</v>
      </c>
      <c r="L43" s="13"/>
    </row>
    <row r="44" spans="1:12" ht="38.1" customHeight="1">
      <c r="A44" s="4">
        <v>41</v>
      </c>
      <c r="B44" s="27" t="s">
        <v>383</v>
      </c>
      <c r="C44" s="4" t="s">
        <v>187</v>
      </c>
      <c r="D44" s="4" t="s">
        <v>146</v>
      </c>
      <c r="E44" s="12" t="s">
        <v>147</v>
      </c>
      <c r="F44" s="4" t="s">
        <v>146</v>
      </c>
      <c r="G44" s="12" t="s">
        <v>147</v>
      </c>
      <c r="H44" s="66"/>
      <c r="I44" s="4">
        <f>58+49</f>
        <v>107</v>
      </c>
      <c r="J44" s="4">
        <v>0</v>
      </c>
      <c r="K44" s="35">
        <f>11600+9800</f>
        <v>21400</v>
      </c>
      <c r="L44" s="13"/>
    </row>
    <row r="45" spans="1:12" ht="38.1" customHeight="1">
      <c r="A45" s="4">
        <v>42</v>
      </c>
      <c r="B45" s="27" t="s">
        <v>384</v>
      </c>
      <c r="C45" s="4" t="s">
        <v>188</v>
      </c>
      <c r="D45" s="4" t="s">
        <v>146</v>
      </c>
      <c r="E45" s="12" t="s">
        <v>147</v>
      </c>
      <c r="F45" s="4" t="s">
        <v>146</v>
      </c>
      <c r="G45" s="12" t="s">
        <v>147</v>
      </c>
      <c r="H45" s="66"/>
      <c r="I45" s="4">
        <f>50+202+144</f>
        <v>396</v>
      </c>
      <c r="J45" s="4">
        <v>0</v>
      </c>
      <c r="K45" s="35">
        <f>10000+40400+28800</f>
        <v>79200</v>
      </c>
      <c r="L45" s="13"/>
    </row>
    <row r="46" spans="1:12" ht="38.1" customHeight="1">
      <c r="A46" s="4">
        <v>43</v>
      </c>
      <c r="B46" s="27" t="s">
        <v>385</v>
      </c>
      <c r="C46" s="4" t="s">
        <v>65</v>
      </c>
      <c r="D46" s="4" t="s">
        <v>146</v>
      </c>
      <c r="E46" s="12" t="s">
        <v>147</v>
      </c>
      <c r="F46" s="4" t="s">
        <v>146</v>
      </c>
      <c r="G46" s="12" t="s">
        <v>147</v>
      </c>
      <c r="H46" s="66"/>
      <c r="I46" s="4">
        <f>4+1</f>
        <v>5</v>
      </c>
      <c r="J46" s="4">
        <f>14+119</f>
        <v>133</v>
      </c>
      <c r="K46" s="35">
        <f>5700+41850</f>
        <v>47550</v>
      </c>
      <c r="L46" s="13"/>
    </row>
    <row r="47" spans="1:12" ht="38.1" customHeight="1">
      <c r="A47" s="4">
        <v>44</v>
      </c>
      <c r="B47" s="27" t="s">
        <v>386</v>
      </c>
      <c r="C47" s="4" t="s">
        <v>98</v>
      </c>
      <c r="D47" s="4" t="s">
        <v>146</v>
      </c>
      <c r="E47" s="12" t="s">
        <v>147</v>
      </c>
      <c r="F47" s="4" t="s">
        <v>146</v>
      </c>
      <c r="G47" s="12" t="s">
        <v>147</v>
      </c>
      <c r="H47" s="66"/>
      <c r="I47" s="4">
        <v>0</v>
      </c>
      <c r="J47" s="4">
        <f>86+111+66+159+165+21</f>
        <v>608</v>
      </c>
      <c r="K47" s="35">
        <v>212800</v>
      </c>
      <c r="L47" s="13"/>
    </row>
    <row r="48" spans="1:12" ht="38.1" customHeight="1">
      <c r="A48" s="4">
        <v>45</v>
      </c>
      <c r="B48" s="27" t="s">
        <v>387</v>
      </c>
      <c r="C48" s="4" t="s">
        <v>189</v>
      </c>
      <c r="D48" s="4" t="s">
        <v>146</v>
      </c>
      <c r="E48" s="12" t="s">
        <v>147</v>
      </c>
      <c r="F48" s="4" t="s">
        <v>146</v>
      </c>
      <c r="G48" s="12" t="s">
        <v>147</v>
      </c>
      <c r="H48" s="66"/>
      <c r="I48" s="4">
        <f>3+42+130</f>
        <v>175</v>
      </c>
      <c r="J48" s="4">
        <f>10+6+64</f>
        <v>80</v>
      </c>
      <c r="K48" s="35">
        <f>4100+10500+48400</f>
        <v>63000</v>
      </c>
      <c r="L48" s="13"/>
    </row>
    <row r="49" spans="1:12" ht="38.1" customHeight="1">
      <c r="A49" s="4">
        <v>46</v>
      </c>
      <c r="B49" s="27" t="s">
        <v>388</v>
      </c>
      <c r="C49" s="4" t="s">
        <v>74</v>
      </c>
      <c r="D49" s="4" t="s">
        <v>146</v>
      </c>
      <c r="E49" s="12" t="s">
        <v>147</v>
      </c>
      <c r="F49" s="4" t="s">
        <v>146</v>
      </c>
      <c r="G49" s="12" t="s">
        <v>147</v>
      </c>
      <c r="H49" s="66"/>
      <c r="I49" s="4">
        <v>2</v>
      </c>
      <c r="J49" s="4">
        <f>22+51+41+45+21</f>
        <v>180</v>
      </c>
      <c r="K49" s="35">
        <v>63400</v>
      </c>
      <c r="L49" s="13"/>
    </row>
    <row r="50" spans="1:12" ht="38.1" customHeight="1">
      <c r="A50" s="4">
        <v>47</v>
      </c>
      <c r="B50" s="27" t="s">
        <v>389</v>
      </c>
      <c r="C50" s="4" t="s">
        <v>190</v>
      </c>
      <c r="D50" s="4" t="s">
        <v>146</v>
      </c>
      <c r="E50" s="12" t="s">
        <v>147</v>
      </c>
      <c r="F50" s="4" t="s">
        <v>146</v>
      </c>
      <c r="G50" s="12" t="s">
        <v>147</v>
      </c>
      <c r="H50" s="66"/>
      <c r="I50" s="4">
        <f>129+26</f>
        <v>155</v>
      </c>
      <c r="J50" s="4">
        <v>0</v>
      </c>
      <c r="K50" s="35">
        <f>25800+5200</f>
        <v>31000</v>
      </c>
      <c r="L50" s="13"/>
    </row>
    <row r="51" spans="1:12" ht="38.1" customHeight="1">
      <c r="A51" s="4">
        <v>48</v>
      </c>
      <c r="B51" s="27" t="s">
        <v>390</v>
      </c>
      <c r="C51" s="4" t="s">
        <v>191</v>
      </c>
      <c r="D51" s="4" t="s">
        <v>146</v>
      </c>
      <c r="E51" s="12" t="s">
        <v>147</v>
      </c>
      <c r="F51" s="4" t="s">
        <v>146</v>
      </c>
      <c r="G51" s="12" t="s">
        <v>147</v>
      </c>
      <c r="H51" s="66"/>
      <c r="I51" s="4">
        <v>114</v>
      </c>
      <c r="J51" s="4">
        <v>0</v>
      </c>
      <c r="K51" s="35">
        <v>22800</v>
      </c>
      <c r="L51" s="13"/>
    </row>
    <row r="52" spans="1:12" ht="38.1" customHeight="1">
      <c r="A52" s="4">
        <v>49</v>
      </c>
      <c r="B52" s="27" t="s">
        <v>391</v>
      </c>
      <c r="C52" s="4" t="s">
        <v>192</v>
      </c>
      <c r="D52" s="4"/>
      <c r="E52" s="12"/>
      <c r="F52" s="4" t="s">
        <v>146</v>
      </c>
      <c r="G52" s="12" t="s">
        <v>147</v>
      </c>
      <c r="H52" s="66"/>
      <c r="I52" s="12">
        <v>193</v>
      </c>
      <c r="J52" s="12">
        <v>2866</v>
      </c>
      <c r="K52" s="37">
        <f>I52*200+J52*350</f>
        <v>1041700</v>
      </c>
      <c r="L52" s="13"/>
    </row>
    <row r="53" spans="1:12" ht="38.1" customHeight="1">
      <c r="A53" s="4">
        <v>50</v>
      </c>
      <c r="B53" s="27" t="s">
        <v>392</v>
      </c>
      <c r="C53" s="4" t="s">
        <v>193</v>
      </c>
      <c r="D53" s="4"/>
      <c r="E53" s="12"/>
      <c r="F53" s="4" t="s">
        <v>146</v>
      </c>
      <c r="G53" s="12" t="s">
        <v>147</v>
      </c>
      <c r="H53" s="66"/>
      <c r="I53" s="12">
        <v>92</v>
      </c>
      <c r="J53" s="12">
        <v>300</v>
      </c>
      <c r="K53" s="37">
        <f>I53*200+J53*350</f>
        <v>123400</v>
      </c>
      <c r="L53" s="13"/>
    </row>
    <row r="54" spans="1:12" ht="38.1" customHeight="1">
      <c r="A54" s="4">
        <v>51</v>
      </c>
      <c r="B54" s="27" t="s">
        <v>393</v>
      </c>
      <c r="C54" s="12" t="s">
        <v>194</v>
      </c>
      <c r="D54" s="4"/>
      <c r="E54" s="12"/>
      <c r="F54" s="4" t="s">
        <v>146</v>
      </c>
      <c r="G54" s="12" t="s">
        <v>147</v>
      </c>
      <c r="H54" s="66"/>
      <c r="I54" s="12">
        <v>403</v>
      </c>
      <c r="J54" s="12">
        <v>3551</v>
      </c>
      <c r="K54" s="37">
        <f>I54*200+J54*350</f>
        <v>1323450</v>
      </c>
      <c r="L54" s="13"/>
    </row>
    <row r="55" spans="1:12" ht="38.1" customHeight="1">
      <c r="A55" s="4">
        <v>52</v>
      </c>
      <c r="B55" s="27" t="s">
        <v>394</v>
      </c>
      <c r="C55" s="12" t="s">
        <v>195</v>
      </c>
      <c r="D55" s="4"/>
      <c r="E55" s="12"/>
      <c r="F55" s="4" t="s">
        <v>146</v>
      </c>
      <c r="G55" s="12" t="s">
        <v>147</v>
      </c>
      <c r="H55" s="67"/>
      <c r="I55" s="12">
        <v>1</v>
      </c>
      <c r="J55" s="12">
        <v>374</v>
      </c>
      <c r="K55" s="37">
        <f>I55*200+J55*350</f>
        <v>131100</v>
      </c>
      <c r="L55" s="13"/>
    </row>
    <row r="56" spans="1:12" ht="38.1" customHeight="1">
      <c r="A56" s="4">
        <v>53</v>
      </c>
      <c r="B56" s="27" t="s">
        <v>395</v>
      </c>
      <c r="C56" s="12" t="s">
        <v>196</v>
      </c>
      <c r="D56" s="4"/>
      <c r="E56" s="12"/>
      <c r="F56" s="4" t="s">
        <v>146</v>
      </c>
      <c r="G56" s="12" t="s">
        <v>147</v>
      </c>
      <c r="H56" s="66" t="s">
        <v>424</v>
      </c>
      <c r="I56" s="12">
        <v>19</v>
      </c>
      <c r="J56" s="12">
        <v>1677</v>
      </c>
      <c r="K56" s="37">
        <f t="shared" ref="K56:K61" si="0">I56*200+J56*350</f>
        <v>590750</v>
      </c>
      <c r="L56" s="13"/>
    </row>
    <row r="57" spans="1:12" ht="38.1" customHeight="1">
      <c r="A57" s="4">
        <v>54</v>
      </c>
      <c r="B57" s="27" t="s">
        <v>396</v>
      </c>
      <c r="C57" s="12" t="s">
        <v>197</v>
      </c>
      <c r="D57" s="4"/>
      <c r="E57" s="12"/>
      <c r="F57" s="4" t="s">
        <v>146</v>
      </c>
      <c r="G57" s="12" t="s">
        <v>147</v>
      </c>
      <c r="H57" s="66"/>
      <c r="I57" s="12">
        <v>191</v>
      </c>
      <c r="J57" s="12">
        <v>10521</v>
      </c>
      <c r="K57" s="37">
        <f t="shared" si="0"/>
        <v>3720550</v>
      </c>
      <c r="L57" s="13"/>
    </row>
    <row r="58" spans="1:12" ht="30" customHeight="1">
      <c r="A58" s="4">
        <v>55</v>
      </c>
      <c r="B58" s="27" t="s">
        <v>397</v>
      </c>
      <c r="C58" s="12" t="s">
        <v>198</v>
      </c>
      <c r="D58" s="4"/>
      <c r="E58" s="12"/>
      <c r="F58" s="4" t="s">
        <v>146</v>
      </c>
      <c r="G58" s="12" t="s">
        <v>147</v>
      </c>
      <c r="H58" s="66"/>
      <c r="I58" s="12">
        <v>1</v>
      </c>
      <c r="J58" s="12">
        <v>687</v>
      </c>
      <c r="K58" s="37">
        <f t="shared" si="0"/>
        <v>240650</v>
      </c>
      <c r="L58" s="13"/>
    </row>
    <row r="59" spans="1:12" ht="30" customHeight="1">
      <c r="A59" s="4">
        <v>56</v>
      </c>
      <c r="B59" s="27" t="s">
        <v>398</v>
      </c>
      <c r="C59" s="12" t="s">
        <v>199</v>
      </c>
      <c r="D59" s="4"/>
      <c r="E59" s="12"/>
      <c r="F59" s="4" t="s">
        <v>146</v>
      </c>
      <c r="G59" s="12" t="s">
        <v>147</v>
      </c>
      <c r="H59" s="66"/>
      <c r="I59" s="12">
        <v>80</v>
      </c>
      <c r="J59" s="12">
        <v>0</v>
      </c>
      <c r="K59" s="37">
        <f t="shared" si="0"/>
        <v>16000</v>
      </c>
      <c r="L59" s="13"/>
    </row>
    <row r="60" spans="1:12" ht="30" customHeight="1">
      <c r="A60" s="4">
        <v>57</v>
      </c>
      <c r="B60" s="27" t="s">
        <v>399</v>
      </c>
      <c r="C60" s="12" t="s">
        <v>200</v>
      </c>
      <c r="D60" s="4"/>
      <c r="E60" s="12"/>
      <c r="F60" s="4" t="s">
        <v>146</v>
      </c>
      <c r="G60" s="12" t="s">
        <v>147</v>
      </c>
      <c r="H60" s="66"/>
      <c r="I60" s="12">
        <v>75</v>
      </c>
      <c r="J60" s="12">
        <v>8</v>
      </c>
      <c r="K60" s="37">
        <f t="shared" si="0"/>
        <v>17800</v>
      </c>
      <c r="L60" s="13"/>
    </row>
    <row r="61" spans="1:12" ht="30" customHeight="1">
      <c r="A61" s="4">
        <v>58</v>
      </c>
      <c r="B61" s="27" t="s">
        <v>400</v>
      </c>
      <c r="C61" s="12" t="s">
        <v>201</v>
      </c>
      <c r="D61" s="4"/>
      <c r="E61" s="12"/>
      <c r="F61" s="4" t="s">
        <v>146</v>
      </c>
      <c r="G61" s="12" t="s">
        <v>147</v>
      </c>
      <c r="H61" s="66"/>
      <c r="I61" s="12">
        <v>30</v>
      </c>
      <c r="J61" s="12">
        <v>256</v>
      </c>
      <c r="K61" s="37">
        <f t="shared" si="0"/>
        <v>95600</v>
      </c>
      <c r="L61" s="13"/>
    </row>
    <row r="62" spans="1:12" ht="30" customHeight="1">
      <c r="A62" s="4">
        <v>59</v>
      </c>
      <c r="B62" s="27" t="s">
        <v>401</v>
      </c>
      <c r="C62" s="12" t="s">
        <v>202</v>
      </c>
      <c r="D62" s="4"/>
      <c r="E62" s="12"/>
      <c r="F62" s="4" t="s">
        <v>146</v>
      </c>
      <c r="G62" s="12" t="s">
        <v>147</v>
      </c>
      <c r="H62" s="66"/>
      <c r="I62" s="12">
        <v>0</v>
      </c>
      <c r="J62" s="12">
        <v>5</v>
      </c>
      <c r="K62" s="37">
        <f t="shared" ref="K62:K72" si="1">I62*200+J62*350</f>
        <v>1750</v>
      </c>
      <c r="L62" s="13"/>
    </row>
    <row r="63" spans="1:12" ht="30" customHeight="1">
      <c r="A63" s="4">
        <v>60</v>
      </c>
      <c r="B63" s="27" t="s">
        <v>402</v>
      </c>
      <c r="C63" s="12" t="s">
        <v>106</v>
      </c>
      <c r="D63" s="4"/>
      <c r="E63" s="12"/>
      <c r="F63" s="4" t="s">
        <v>146</v>
      </c>
      <c r="G63" s="12" t="s">
        <v>147</v>
      </c>
      <c r="H63" s="66"/>
      <c r="I63" s="12">
        <v>365</v>
      </c>
      <c r="J63" s="12">
        <v>31</v>
      </c>
      <c r="K63" s="37">
        <f t="shared" si="1"/>
        <v>83850</v>
      </c>
      <c r="L63" s="13"/>
    </row>
    <row r="64" spans="1:12" ht="30" customHeight="1">
      <c r="A64" s="4">
        <v>61</v>
      </c>
      <c r="B64" s="27" t="s">
        <v>403</v>
      </c>
      <c r="C64" s="12" t="s">
        <v>203</v>
      </c>
      <c r="D64" s="4"/>
      <c r="E64" s="12"/>
      <c r="F64" s="4" t="s">
        <v>146</v>
      </c>
      <c r="G64" s="12" t="s">
        <v>147</v>
      </c>
      <c r="H64" s="66"/>
      <c r="I64" s="12">
        <v>126</v>
      </c>
      <c r="J64" s="12">
        <v>645</v>
      </c>
      <c r="K64" s="37">
        <f t="shared" si="1"/>
        <v>250950</v>
      </c>
      <c r="L64" s="13"/>
    </row>
    <row r="65" spans="1:12" ht="30" customHeight="1">
      <c r="A65" s="4">
        <v>62</v>
      </c>
      <c r="B65" s="27" t="s">
        <v>404</v>
      </c>
      <c r="C65" s="12" t="s">
        <v>204</v>
      </c>
      <c r="D65" s="4"/>
      <c r="E65" s="12"/>
      <c r="F65" s="4" t="s">
        <v>146</v>
      </c>
      <c r="G65" s="12" t="s">
        <v>147</v>
      </c>
      <c r="H65" s="66"/>
      <c r="I65" s="12">
        <v>434</v>
      </c>
      <c r="J65" s="12">
        <v>2080</v>
      </c>
      <c r="K65" s="37">
        <f t="shared" si="1"/>
        <v>814800</v>
      </c>
      <c r="L65" s="13"/>
    </row>
    <row r="66" spans="1:12" ht="30" customHeight="1">
      <c r="A66" s="4">
        <v>63</v>
      </c>
      <c r="B66" s="27" t="s">
        <v>405</v>
      </c>
      <c r="C66" s="12" t="s">
        <v>205</v>
      </c>
      <c r="D66" s="4"/>
      <c r="E66" s="12"/>
      <c r="F66" s="4" t="s">
        <v>146</v>
      </c>
      <c r="G66" s="12" t="s">
        <v>147</v>
      </c>
      <c r="H66" s="66"/>
      <c r="I66" s="12">
        <f>9+13</f>
        <v>22</v>
      </c>
      <c r="J66" s="12">
        <v>0</v>
      </c>
      <c r="K66" s="37">
        <f t="shared" si="1"/>
        <v>4400</v>
      </c>
      <c r="L66" s="13"/>
    </row>
    <row r="67" spans="1:12" ht="30" customHeight="1">
      <c r="A67" s="4">
        <v>64</v>
      </c>
      <c r="B67" s="27" t="s">
        <v>406</v>
      </c>
      <c r="C67" s="12" t="s">
        <v>206</v>
      </c>
      <c r="D67" s="4"/>
      <c r="E67" s="12"/>
      <c r="F67" s="4" t="s">
        <v>146</v>
      </c>
      <c r="G67" s="12" t="s">
        <v>147</v>
      </c>
      <c r="H67" s="66"/>
      <c r="I67" s="12">
        <v>183</v>
      </c>
      <c r="J67" s="12">
        <v>0</v>
      </c>
      <c r="K67" s="37">
        <f t="shared" si="1"/>
        <v>36600</v>
      </c>
      <c r="L67" s="13"/>
    </row>
    <row r="68" spans="1:12" ht="30" customHeight="1">
      <c r="A68" s="4">
        <v>65</v>
      </c>
      <c r="B68" s="27" t="s">
        <v>407</v>
      </c>
      <c r="C68" s="12" t="s">
        <v>207</v>
      </c>
      <c r="D68" s="4"/>
      <c r="E68" s="12"/>
      <c r="F68" s="4" t="s">
        <v>146</v>
      </c>
      <c r="G68" s="12" t="s">
        <v>147</v>
      </c>
      <c r="H68" s="66"/>
      <c r="I68" s="12">
        <v>3</v>
      </c>
      <c r="J68" s="12">
        <v>4</v>
      </c>
      <c r="K68" s="37">
        <f t="shared" si="1"/>
        <v>2000</v>
      </c>
      <c r="L68" s="13"/>
    </row>
    <row r="69" spans="1:12" ht="30" customHeight="1">
      <c r="A69" s="4">
        <v>66</v>
      </c>
      <c r="B69" s="27" t="s">
        <v>408</v>
      </c>
      <c r="C69" s="12" t="s">
        <v>208</v>
      </c>
      <c r="D69" s="4"/>
      <c r="E69" s="12"/>
      <c r="F69" s="4" t="s">
        <v>146</v>
      </c>
      <c r="G69" s="12" t="s">
        <v>147</v>
      </c>
      <c r="H69" s="66"/>
      <c r="I69" s="12">
        <f>2+0+2</f>
        <v>4</v>
      </c>
      <c r="J69" s="12">
        <f>111+122</f>
        <v>233</v>
      </c>
      <c r="K69" s="37">
        <f t="shared" si="1"/>
        <v>82350</v>
      </c>
      <c r="L69" s="13"/>
    </row>
    <row r="70" spans="1:12" ht="38.1" customHeight="1">
      <c r="A70" s="4">
        <v>67</v>
      </c>
      <c r="B70" s="27" t="s">
        <v>409</v>
      </c>
      <c r="C70" s="12" t="s">
        <v>209</v>
      </c>
      <c r="D70" s="4"/>
      <c r="E70" s="12"/>
      <c r="F70" s="4" t="s">
        <v>146</v>
      </c>
      <c r="G70" s="12" t="s">
        <v>147</v>
      </c>
      <c r="H70" s="66"/>
      <c r="I70" s="12">
        <f>4+5+1</f>
        <v>10</v>
      </c>
      <c r="J70" s="12">
        <f>8+6+22+9</f>
        <v>45</v>
      </c>
      <c r="K70" s="37">
        <f t="shared" si="1"/>
        <v>17750</v>
      </c>
      <c r="L70" s="13"/>
    </row>
    <row r="71" spans="1:12" ht="38.1" customHeight="1">
      <c r="A71" s="4">
        <v>68</v>
      </c>
      <c r="B71" s="27" t="s">
        <v>410</v>
      </c>
      <c r="C71" s="12" t="s">
        <v>210</v>
      </c>
      <c r="D71" s="4"/>
      <c r="E71" s="12"/>
      <c r="F71" s="4" t="s">
        <v>146</v>
      </c>
      <c r="G71" s="12" t="s">
        <v>147</v>
      </c>
      <c r="H71" s="66"/>
      <c r="I71" s="12">
        <v>4</v>
      </c>
      <c r="J71" s="12">
        <v>5</v>
      </c>
      <c r="K71" s="37">
        <f t="shared" si="1"/>
        <v>2550</v>
      </c>
      <c r="L71" s="13"/>
    </row>
    <row r="72" spans="1:12" ht="38.1" customHeight="1">
      <c r="A72" s="4">
        <v>69</v>
      </c>
      <c r="B72" s="27" t="s">
        <v>411</v>
      </c>
      <c r="C72" s="12" t="s">
        <v>211</v>
      </c>
      <c r="D72" s="4"/>
      <c r="E72" s="12"/>
      <c r="F72" s="4" t="s">
        <v>146</v>
      </c>
      <c r="G72" s="12" t="s">
        <v>147</v>
      </c>
      <c r="H72" s="66"/>
      <c r="I72" s="12">
        <f>0+25+2+2</f>
        <v>29</v>
      </c>
      <c r="J72" s="12">
        <v>39</v>
      </c>
      <c r="K72" s="37">
        <f t="shared" si="1"/>
        <v>19450</v>
      </c>
      <c r="L72" s="13"/>
    </row>
    <row r="73" spans="1:12" ht="38.1" customHeight="1">
      <c r="A73" s="4">
        <v>70</v>
      </c>
      <c r="B73" s="27" t="s">
        <v>412</v>
      </c>
      <c r="C73" s="4" t="s">
        <v>205</v>
      </c>
      <c r="D73" s="4"/>
      <c r="E73" s="12"/>
      <c r="F73" s="4" t="s">
        <v>146</v>
      </c>
      <c r="G73" s="12" t="s">
        <v>147</v>
      </c>
      <c r="H73" s="66"/>
      <c r="I73" s="4">
        <v>3</v>
      </c>
      <c r="J73" s="4">
        <v>0</v>
      </c>
      <c r="K73" s="35">
        <v>600</v>
      </c>
      <c r="L73" s="13"/>
    </row>
    <row r="74" spans="1:12" ht="33.950000000000003" customHeight="1">
      <c r="A74" s="30" t="s">
        <v>144</v>
      </c>
      <c r="B74" s="30"/>
      <c r="C74" s="32"/>
      <c r="D74" s="32"/>
      <c r="E74" s="32"/>
      <c r="F74" s="32"/>
      <c r="G74" s="32"/>
      <c r="H74" s="32"/>
      <c r="I74" s="32">
        <f>SUM(I4:I73)</f>
        <v>7516</v>
      </c>
      <c r="J74" s="32">
        <f>SUM(J4:J73)</f>
        <v>30755</v>
      </c>
      <c r="K74" s="35">
        <f>SUM(K4:K73)</f>
        <v>12307150</v>
      </c>
      <c r="L74" s="9"/>
    </row>
    <row r="75" spans="1:12">
      <c r="E75" s="1" t="s">
        <v>212</v>
      </c>
    </row>
  </sheetData>
  <mergeCells count="16">
    <mergeCell ref="H4:H19"/>
    <mergeCell ref="H20:H37"/>
    <mergeCell ref="H38:H55"/>
    <mergeCell ref="H56:H73"/>
    <mergeCell ref="A1:L1"/>
    <mergeCell ref="I2:J2"/>
    <mergeCell ref="A2:A3"/>
    <mergeCell ref="C2:C3"/>
    <mergeCell ref="D2:D3"/>
    <mergeCell ref="E2:E3"/>
    <mergeCell ref="F2:F3"/>
    <mergeCell ref="G2:G3"/>
    <mergeCell ref="H2:H3"/>
    <mergeCell ref="K2:K3"/>
    <mergeCell ref="L2:L3"/>
    <mergeCell ref="B2:B3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K11"/>
  <sheetViews>
    <sheetView zoomScale="85" zoomScaleNormal="85" workbookViewId="0">
      <selection sqref="A1:J1"/>
    </sheetView>
  </sheetViews>
  <sheetFormatPr defaultColWidth="9" defaultRowHeight="13.5"/>
  <cols>
    <col min="1" max="1" width="11" style="11" customWidth="1"/>
    <col min="2" max="2" width="23.25" style="11" customWidth="1"/>
    <col min="3" max="3" width="32.875" style="11" customWidth="1"/>
    <col min="4" max="4" width="17.625" style="11" hidden="1" customWidth="1"/>
    <col min="5" max="5" width="14.25" style="11" hidden="1" customWidth="1"/>
    <col min="6" max="6" width="16.875" style="11" hidden="1" customWidth="1"/>
    <col min="7" max="7" width="16.875" style="11" customWidth="1"/>
    <col min="8" max="8" width="17.125" style="11" customWidth="1"/>
    <col min="9" max="9" width="27" style="11" customWidth="1"/>
    <col min="10" max="10" width="18.5" style="11" customWidth="1"/>
    <col min="11" max="16384" width="9" style="11"/>
  </cols>
  <sheetData>
    <row r="1" spans="1:11" ht="54.95" customHeight="1">
      <c r="A1" s="59" t="s">
        <v>435</v>
      </c>
      <c r="B1" s="59"/>
      <c r="C1" s="59"/>
      <c r="D1" s="59"/>
      <c r="E1" s="59"/>
      <c r="F1" s="59"/>
      <c r="G1" s="59"/>
      <c r="H1" s="59"/>
      <c r="I1" s="59"/>
      <c r="J1" s="59"/>
    </row>
    <row r="2" spans="1:11">
      <c r="A2" s="70" t="s">
        <v>0</v>
      </c>
      <c r="B2" s="72" t="s">
        <v>222</v>
      </c>
      <c r="C2" s="70" t="s">
        <v>1</v>
      </c>
      <c r="D2" s="70" t="s">
        <v>14</v>
      </c>
      <c r="E2" s="70" t="s">
        <v>3</v>
      </c>
      <c r="F2" s="70" t="s">
        <v>15</v>
      </c>
      <c r="G2" s="74" t="s">
        <v>422</v>
      </c>
      <c r="H2" s="70" t="s">
        <v>16</v>
      </c>
      <c r="I2" s="70" t="s">
        <v>17</v>
      </c>
      <c r="J2" s="71" t="s">
        <v>9</v>
      </c>
    </row>
    <row r="3" spans="1:11" ht="19.7" customHeight="1">
      <c r="A3" s="70"/>
      <c r="B3" s="73"/>
      <c r="C3" s="70"/>
      <c r="D3" s="70"/>
      <c r="E3" s="70"/>
      <c r="F3" s="70"/>
      <c r="G3" s="73"/>
      <c r="H3" s="70"/>
      <c r="I3" s="70"/>
      <c r="J3" s="71"/>
    </row>
    <row r="4" spans="1:11" s="1" customFormat="1" ht="45" customHeight="1">
      <c r="A4" s="4">
        <v>1</v>
      </c>
      <c r="B4" s="27" t="s">
        <v>414</v>
      </c>
      <c r="C4" s="4" t="s">
        <v>213</v>
      </c>
      <c r="D4" s="4" t="s">
        <v>214</v>
      </c>
      <c r="E4" s="12" t="s">
        <v>215</v>
      </c>
      <c r="F4" s="4" t="s">
        <v>216</v>
      </c>
      <c r="G4" s="65" t="s">
        <v>423</v>
      </c>
      <c r="H4" s="4">
        <f>97+45+179+74+98</f>
        <v>493</v>
      </c>
      <c r="I4" s="35">
        <f>4850+2250+8950+3700+4900</f>
        <v>24650</v>
      </c>
      <c r="J4" s="13"/>
    </row>
    <row r="5" spans="1:11" s="1" customFormat="1" ht="45" customHeight="1">
      <c r="A5" s="4">
        <v>2</v>
      </c>
      <c r="B5" s="27" t="s">
        <v>415</v>
      </c>
      <c r="C5" s="4" t="s">
        <v>217</v>
      </c>
      <c r="D5" s="4" t="s">
        <v>214</v>
      </c>
      <c r="E5" s="12" t="s">
        <v>215</v>
      </c>
      <c r="F5" s="4" t="s">
        <v>216</v>
      </c>
      <c r="G5" s="66"/>
      <c r="H5" s="4">
        <v>405</v>
      </c>
      <c r="I5" s="35">
        <v>20250</v>
      </c>
      <c r="J5" s="13"/>
    </row>
    <row r="6" spans="1:11" s="1" customFormat="1" ht="45" customHeight="1">
      <c r="A6" s="4">
        <v>3</v>
      </c>
      <c r="B6" s="27" t="s">
        <v>416</v>
      </c>
      <c r="C6" s="4" t="s">
        <v>218</v>
      </c>
      <c r="D6" s="4"/>
      <c r="E6" s="12"/>
      <c r="F6" s="4"/>
      <c r="G6" s="66"/>
      <c r="H6" s="4">
        <v>101</v>
      </c>
      <c r="I6" s="35">
        <v>5050</v>
      </c>
      <c r="J6" s="8"/>
    </row>
    <row r="7" spans="1:11" s="1" customFormat="1" ht="45" customHeight="1">
      <c r="A7" s="4">
        <v>4</v>
      </c>
      <c r="B7" s="27" t="s">
        <v>417</v>
      </c>
      <c r="C7" s="4" t="s">
        <v>219</v>
      </c>
      <c r="D7" s="4"/>
      <c r="E7" s="12"/>
      <c r="F7" s="4"/>
      <c r="G7" s="66"/>
      <c r="H7" s="4">
        <f>32+191</f>
        <v>223</v>
      </c>
      <c r="I7" s="35">
        <f t="shared" ref="I7:I9" si="0">H7*50</f>
        <v>11150</v>
      </c>
      <c r="J7" s="8"/>
    </row>
    <row r="8" spans="1:11" ht="45" customHeight="1">
      <c r="A8" s="4">
        <v>5</v>
      </c>
      <c r="B8" s="27" t="s">
        <v>418</v>
      </c>
      <c r="C8" s="4" t="s">
        <v>191</v>
      </c>
      <c r="D8" s="4"/>
      <c r="E8" s="12"/>
      <c r="F8" s="4"/>
      <c r="G8" s="66"/>
      <c r="H8" s="4">
        <v>87</v>
      </c>
      <c r="I8" s="35">
        <f t="shared" si="0"/>
        <v>4350</v>
      </c>
      <c r="J8" s="14"/>
    </row>
    <row r="9" spans="1:11" ht="45" customHeight="1">
      <c r="A9" s="4">
        <v>6</v>
      </c>
      <c r="B9" s="27" t="s">
        <v>419</v>
      </c>
      <c r="C9" s="4" t="s">
        <v>220</v>
      </c>
      <c r="D9" s="4"/>
      <c r="E9" s="12"/>
      <c r="F9" s="4"/>
      <c r="G9" s="66"/>
      <c r="H9" s="4">
        <v>207</v>
      </c>
      <c r="I9" s="35">
        <f t="shared" si="0"/>
        <v>10350</v>
      </c>
      <c r="J9" s="14"/>
    </row>
    <row r="10" spans="1:11" ht="45" customHeight="1">
      <c r="A10" s="2">
        <v>7</v>
      </c>
      <c r="B10" s="27" t="s">
        <v>420</v>
      </c>
      <c r="C10" s="2" t="s">
        <v>221</v>
      </c>
      <c r="D10" s="2"/>
      <c r="E10" s="5"/>
      <c r="F10" s="2"/>
      <c r="G10" s="67"/>
      <c r="H10" s="2">
        <v>46</v>
      </c>
      <c r="I10" s="36">
        <v>2300</v>
      </c>
      <c r="J10" s="15"/>
      <c r="K10" s="16"/>
    </row>
    <row r="11" spans="1:11" ht="34.700000000000003" customHeight="1">
      <c r="A11" s="33" t="s">
        <v>144</v>
      </c>
      <c r="B11" s="33"/>
      <c r="C11" s="34"/>
      <c r="D11" s="34"/>
      <c r="E11" s="34"/>
      <c r="F11" s="34"/>
      <c r="G11" s="34"/>
      <c r="H11" s="34">
        <f>SUM(H4:H10)</f>
        <v>1562</v>
      </c>
      <c r="I11" s="36">
        <f>SUM(I4:I10)</f>
        <v>78100</v>
      </c>
      <c r="J11" s="14"/>
    </row>
  </sheetData>
  <mergeCells count="12">
    <mergeCell ref="G4:G10"/>
    <mergeCell ref="A1:J1"/>
    <mergeCell ref="A2:A3"/>
    <mergeCell ref="C2:C3"/>
    <mergeCell ref="D2:D3"/>
    <mergeCell ref="E2:E3"/>
    <mergeCell ref="F2:F3"/>
    <mergeCell ref="H2:H3"/>
    <mergeCell ref="I2:I3"/>
    <mergeCell ref="J2:J3"/>
    <mergeCell ref="B2:B3"/>
    <mergeCell ref="G2:G3"/>
  </mergeCells>
  <phoneticPr fontId="9" type="noConversion"/>
  <pageMargins left="0.70866141732283505" right="0.70866141732283505" top="0.74803149606299202" bottom="0.74803149606299202" header="0.31496062992126" footer="0.31496062992126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开航航线奖励</vt:lpstr>
      <vt:lpstr>进口重箱奖励</vt:lpstr>
      <vt:lpstr>出口重箱奖励（出口订舱人）</vt:lpstr>
      <vt:lpstr>出口重箱奖励（出口报关企业）</vt:lpstr>
      <vt:lpstr>'出口重箱奖励（出口报关企业）'!Print_Area</vt:lpstr>
      <vt:lpstr>进口重箱奖励!Print_Area</vt:lpstr>
      <vt:lpstr>开航航线奖励!Print_Area</vt:lpstr>
      <vt:lpstr>进口重箱奖励!Print_Titles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2020-06-03T08:28:05Z</cp:lastPrinted>
  <dcterms:created xsi:type="dcterms:W3CDTF">2020-03-24T02:06:00Z</dcterms:created>
  <dcterms:modified xsi:type="dcterms:W3CDTF">2020-06-08T02:51:59Z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